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5" yWindow="45" windowWidth="10470" windowHeight="12750" tabRatio="249"/>
  </bookViews>
  <sheets>
    <sheet name="MOL_tabela rezultatov" sheetId="1" r:id="rId1"/>
    <sheet name="faktorji" sheetId="4" r:id="rId2"/>
  </sheets>
  <definedNames>
    <definedName name="_xlnm._FilterDatabase" localSheetId="0" hidden="1">'MOL_tabela rezultatov'!$A$2:$CP$334</definedName>
    <definedName name="_xlnm.Print_Area" localSheetId="0">'MOL_tabela rezultatov'!$A$2:$AL$41</definedName>
  </definedNames>
  <calcPr calcId="125725"/>
</workbook>
</file>

<file path=xl/calcChain.xml><?xml version="1.0" encoding="utf-8"?>
<calcChain xmlns="http://schemas.openxmlformats.org/spreadsheetml/2006/main">
  <c r="CK301" i="1"/>
  <c r="BO301"/>
  <c r="BN301"/>
  <c r="BO332"/>
  <c r="BN332"/>
  <c r="BO50"/>
  <c r="BN50"/>
  <c r="BM50"/>
  <c r="BO303"/>
  <c r="BN303"/>
  <c r="BM303"/>
  <c r="CK175"/>
  <c r="BO175"/>
  <c r="BN175"/>
  <c r="BM175"/>
  <c r="CK330"/>
  <c r="BO330"/>
  <c r="BN330"/>
  <c r="BO191"/>
  <c r="BN191"/>
  <c r="BM191"/>
  <c r="CK116"/>
  <c r="BO221"/>
  <c r="BN221"/>
  <c r="BO116"/>
  <c r="BN116"/>
  <c r="BO166"/>
  <c r="BN166"/>
  <c r="BM166"/>
  <c r="CK167"/>
  <c r="CK98"/>
  <c r="BO331"/>
  <c r="BN331"/>
  <c r="BM331"/>
  <c r="BO167"/>
  <c r="BN167"/>
  <c r="CI206"/>
  <c r="BO206"/>
  <c r="BN206"/>
  <c r="BO41"/>
  <c r="BN41"/>
  <c r="BM41"/>
  <c r="BO194"/>
  <c r="BN194"/>
  <c r="BM194"/>
  <c r="BO250"/>
  <c r="BN250"/>
  <c r="BM250"/>
  <c r="BO254"/>
  <c r="BN254"/>
  <c r="BM254"/>
  <c r="BO73"/>
  <c r="BN73"/>
  <c r="BM73"/>
  <c r="BO293"/>
  <c r="BN293"/>
  <c r="BM293"/>
  <c r="BO104"/>
  <c r="BN104"/>
  <c r="BM104"/>
  <c r="BO98"/>
  <c r="BN98"/>
  <c r="BM98"/>
  <c r="BO70"/>
  <c r="BN70"/>
  <c r="BM70"/>
  <c r="BO39"/>
  <c r="BN39"/>
  <c r="CK39"/>
  <c r="BO334"/>
  <c r="BN334"/>
  <c r="BO26"/>
  <c r="BN26"/>
  <c r="BO145"/>
  <c r="BN145"/>
  <c r="BO8"/>
  <c r="BN8"/>
  <c r="BO10"/>
  <c r="BN10"/>
  <c r="CK155"/>
  <c r="BO155"/>
  <c r="BN155"/>
  <c r="BY89"/>
  <c r="BZ89"/>
  <c r="CK40"/>
  <c r="BY308"/>
  <c r="BO308"/>
  <c r="BN308"/>
  <c r="BM308"/>
  <c r="BO328"/>
  <c r="BN328"/>
  <c r="BO299"/>
  <c r="BN299"/>
  <c r="BO327"/>
  <c r="BN327"/>
  <c r="BM328"/>
  <c r="BM299"/>
  <c r="BM327"/>
  <c r="BO160"/>
  <c r="BN160"/>
  <c r="BM160"/>
  <c r="BO40"/>
  <c r="BN40"/>
  <c r="BO89"/>
  <c r="BN89"/>
  <c r="BM300"/>
  <c r="BM302"/>
  <c r="BM221"/>
  <c r="BM171"/>
  <c r="BM116"/>
  <c r="BM115"/>
  <c r="BM204"/>
  <c r="BM143"/>
  <c r="BM291"/>
  <c r="BM167"/>
  <c r="BM154"/>
  <c r="BM239"/>
  <c r="BM268"/>
  <c r="BM47"/>
  <c r="BM46"/>
  <c r="BM151"/>
  <c r="BM330"/>
  <c r="BM212"/>
  <c r="BM265"/>
  <c r="BM128"/>
  <c r="BM298"/>
  <c r="BM246"/>
  <c r="BM244"/>
  <c r="BM228"/>
  <c r="BM195"/>
  <c r="BM79"/>
  <c r="BM157"/>
  <c r="BM56"/>
  <c r="BM169"/>
  <c r="BM256"/>
  <c r="BM206"/>
  <c r="BM190"/>
  <c r="BM241"/>
  <c r="BM123"/>
  <c r="BM240"/>
  <c r="BM243"/>
  <c r="BM322"/>
  <c r="BM301"/>
  <c r="BM332"/>
  <c r="BM222"/>
  <c r="BM295"/>
  <c r="BM315"/>
  <c r="BM65"/>
  <c r="BM263"/>
  <c r="BM57"/>
  <c r="BM203"/>
  <c r="BM257"/>
  <c r="BM251"/>
  <c r="BM122"/>
  <c r="BM297"/>
  <c r="BM285"/>
  <c r="BM134"/>
  <c r="BM226"/>
  <c r="BM54"/>
  <c r="BM53"/>
  <c r="BM61"/>
  <c r="BM202"/>
  <c r="BM174"/>
  <c r="BM200"/>
  <c r="BM103"/>
  <c r="BM319"/>
  <c r="BM270"/>
  <c r="BM267"/>
  <c r="BM193"/>
  <c r="BM177"/>
  <c r="BM209"/>
  <c r="BM262"/>
  <c r="BM312"/>
  <c r="BM164"/>
  <c r="BM109"/>
  <c r="BM211"/>
  <c r="BM309"/>
  <c r="BM45"/>
  <c r="BM83"/>
  <c r="BM249"/>
  <c r="BM217"/>
  <c r="BM90"/>
  <c r="BM197"/>
  <c r="BM266"/>
  <c r="BM111"/>
  <c r="BM247"/>
  <c r="BM39"/>
  <c r="BM113"/>
  <c r="BM55"/>
  <c r="BM320"/>
  <c r="BM64"/>
  <c r="BM219"/>
  <c r="BM188"/>
  <c r="BM40"/>
  <c r="BM287"/>
  <c r="BM33"/>
  <c r="BM307"/>
  <c r="BM35"/>
  <c r="BM77"/>
  <c r="BM80"/>
  <c r="BM68"/>
  <c r="BM101"/>
  <c r="BM106"/>
  <c r="BM229"/>
  <c r="BM173"/>
  <c r="BM130"/>
  <c r="BM102"/>
  <c r="BM44"/>
  <c r="BM63"/>
  <c r="BM176"/>
  <c r="BM82"/>
  <c r="BM235"/>
  <c r="BM230"/>
  <c r="BM138"/>
  <c r="BM316"/>
  <c r="BM215"/>
  <c r="BM333"/>
  <c r="BM105"/>
  <c r="BM255"/>
  <c r="BM89"/>
  <c r="BM198"/>
  <c r="BM59"/>
  <c r="BM84"/>
  <c r="BM72"/>
  <c r="BM76"/>
  <c r="BM132"/>
  <c r="BM124"/>
  <c r="BM273"/>
  <c r="BM107"/>
  <c r="BM119"/>
  <c r="BM292"/>
  <c r="BM149"/>
  <c r="BM165"/>
  <c r="BM69"/>
  <c r="BM81"/>
  <c r="BM126"/>
  <c r="BM129"/>
  <c r="BM114"/>
  <c r="BM127"/>
  <c r="BM97"/>
  <c r="BM144"/>
  <c r="BM276"/>
  <c r="BM112"/>
  <c r="BM208"/>
  <c r="BM196"/>
  <c r="BM296"/>
  <c r="BM260"/>
  <c r="BM78"/>
  <c r="BM185"/>
  <c r="BM28"/>
  <c r="BM3"/>
  <c r="BM334"/>
  <c r="BM26"/>
  <c r="BM12"/>
  <c r="BM21"/>
  <c r="BM31"/>
  <c r="BM6"/>
  <c r="BM14"/>
  <c r="BM30"/>
  <c r="BM18"/>
  <c r="BM22"/>
  <c r="BM15"/>
  <c r="BM17"/>
  <c r="BM16"/>
  <c r="BM20"/>
  <c r="BM23"/>
  <c r="BM29"/>
  <c r="BM310"/>
  <c r="BM10"/>
  <c r="BM145"/>
  <c r="BM9"/>
  <c r="BM8"/>
  <c r="BM11"/>
  <c r="BM32"/>
  <c r="BM13"/>
  <c r="BM7"/>
  <c r="BM25"/>
  <c r="BM27"/>
  <c r="BM155"/>
  <c r="BM133"/>
  <c r="BM140"/>
  <c r="BM43"/>
  <c r="BM275"/>
  <c r="BM108"/>
  <c r="BM60"/>
  <c r="BM88"/>
  <c r="BM125"/>
  <c r="BM216"/>
  <c r="BM306"/>
  <c r="BM207"/>
  <c r="BM139"/>
  <c r="BM189"/>
  <c r="BM153"/>
  <c r="BM242"/>
  <c r="BM237"/>
  <c r="BM62"/>
  <c r="BM93"/>
  <c r="BM48"/>
  <c r="BM137"/>
  <c r="BM317"/>
  <c r="BM36"/>
  <c r="BM214"/>
  <c r="BM199"/>
  <c r="BM205"/>
  <c r="BM294"/>
  <c r="BM163"/>
  <c r="BM170"/>
  <c r="BM91"/>
  <c r="BM95"/>
  <c r="BM272"/>
  <c r="BM313"/>
  <c r="BM142"/>
  <c r="BM234"/>
  <c r="BM213"/>
  <c r="BM282"/>
  <c r="BM264"/>
  <c r="BM71"/>
  <c r="BM179"/>
  <c r="BM248"/>
  <c r="BM172"/>
  <c r="BM271"/>
  <c r="BM329"/>
  <c r="BM231"/>
  <c r="BM118"/>
  <c r="BM253"/>
  <c r="BM286"/>
  <c r="BM146"/>
  <c r="BM37"/>
  <c r="BM34"/>
  <c r="BM178"/>
  <c r="BM321"/>
  <c r="BM120"/>
  <c r="BM259"/>
  <c r="BM147"/>
  <c r="BM284"/>
  <c r="BM4"/>
  <c r="BM152"/>
  <c r="BM278"/>
  <c r="BM277"/>
  <c r="BM210"/>
  <c r="BM94"/>
  <c r="BM311"/>
  <c r="BM51"/>
  <c r="BM5"/>
  <c r="BM180"/>
  <c r="BM136"/>
  <c r="BM135"/>
  <c r="BM218"/>
  <c r="BM186"/>
  <c r="BM121"/>
  <c r="BM117"/>
  <c r="BM184"/>
  <c r="BM150"/>
  <c r="BM305"/>
  <c r="BM304"/>
  <c r="BM158"/>
  <c r="BM324"/>
  <c r="BM99"/>
  <c r="BM261"/>
  <c r="BM238"/>
  <c r="BM279"/>
  <c r="BM66"/>
  <c r="BM87"/>
  <c r="BM49"/>
  <c r="BM288"/>
  <c r="BM283"/>
  <c r="BM220"/>
  <c r="BM19"/>
  <c r="BM141"/>
  <c r="BM74"/>
  <c r="BM323"/>
  <c r="BM318"/>
  <c r="BM223"/>
  <c r="BM325"/>
  <c r="BM96"/>
  <c r="BM314"/>
  <c r="BM42"/>
  <c r="BM110"/>
  <c r="BM100"/>
  <c r="BM201"/>
  <c r="BM289"/>
  <c r="BM245"/>
  <c r="BM225"/>
  <c r="BM162"/>
  <c r="BM38"/>
  <c r="BM156"/>
  <c r="BM182"/>
  <c r="BM187"/>
  <c r="BM233"/>
  <c r="BM148"/>
  <c r="BM274"/>
  <c r="BM58"/>
  <c r="BM290"/>
  <c r="BM52"/>
  <c r="BM280"/>
  <c r="BM236"/>
  <c r="BM131"/>
  <c r="BM86"/>
  <c r="BM192"/>
  <c r="BM24"/>
  <c r="BM161"/>
  <c r="BM252"/>
  <c r="BM281"/>
  <c r="BM183"/>
  <c r="BM181"/>
  <c r="BM168"/>
  <c r="BM224"/>
  <c r="BM232"/>
  <c r="BM269"/>
  <c r="BM227"/>
  <c r="BM67"/>
  <c r="BM159"/>
  <c r="BM92"/>
  <c r="BM258"/>
  <c r="BP301" l="1"/>
  <c r="BP332"/>
  <c r="BP50"/>
  <c r="BP303"/>
  <c r="BP206"/>
  <c r="BP191"/>
  <c r="BP330"/>
  <c r="BP175"/>
  <c r="BP221"/>
  <c r="BP116"/>
  <c r="BP166"/>
  <c r="BP331"/>
  <c r="BP308"/>
  <c r="BP98"/>
  <c r="BP167"/>
  <c r="BP41"/>
  <c r="BP39"/>
  <c r="BP194"/>
  <c r="BP250"/>
  <c r="BP293"/>
  <c r="BP73"/>
  <c r="BP254"/>
  <c r="BP104"/>
  <c r="BP8"/>
  <c r="BP26"/>
  <c r="BP70"/>
  <c r="BP10"/>
  <c r="BP145"/>
  <c r="BP334"/>
  <c r="BP155"/>
  <c r="BP160"/>
  <c r="BP328"/>
  <c r="BP40"/>
  <c r="BP327"/>
  <c r="BP299"/>
  <c r="BP89"/>
  <c r="CO116"/>
  <c r="CN116"/>
  <c r="CM116"/>
  <c r="CO331"/>
  <c r="CN331"/>
  <c r="CM331"/>
  <c r="CO167"/>
  <c r="CN167"/>
  <c r="CM167"/>
  <c r="CO175"/>
  <c r="CN175"/>
  <c r="CM175"/>
  <c r="CO330"/>
  <c r="CN330"/>
  <c r="CM330"/>
  <c r="CO98"/>
  <c r="CN98"/>
  <c r="CM98"/>
  <c r="CO70"/>
  <c r="CN70"/>
  <c r="CM70"/>
  <c r="CO301"/>
  <c r="CN301"/>
  <c r="CM301"/>
  <c r="CO202"/>
  <c r="CN202"/>
  <c r="CM202"/>
  <c r="CO200"/>
  <c r="CN200"/>
  <c r="CM200"/>
  <c r="CO254"/>
  <c r="CN254"/>
  <c r="CM254"/>
  <c r="CO73"/>
  <c r="CN73"/>
  <c r="CM73"/>
  <c r="CO293"/>
  <c r="CN293"/>
  <c r="CM293"/>
  <c r="CO39"/>
  <c r="CN39"/>
  <c r="CM39"/>
  <c r="CO40"/>
  <c r="CN40"/>
  <c r="CM40"/>
  <c r="CO89"/>
  <c r="CN89"/>
  <c r="CM89"/>
  <c r="CT308"/>
  <c r="CS308"/>
  <c r="CU308" s="1"/>
  <c r="CV308" s="1"/>
  <c r="CW308" s="1"/>
  <c r="CX308" s="1"/>
  <c r="CR308"/>
  <c r="CQ308"/>
  <c r="CT307"/>
  <c r="CS307"/>
  <c r="CU307" s="1"/>
  <c r="CV307" s="1"/>
  <c r="CW307" s="1"/>
  <c r="CX307" s="1"/>
  <c r="CR307"/>
  <c r="CQ307"/>
  <c r="CT306"/>
  <c r="CS306"/>
  <c r="CU306" s="1"/>
  <c r="CV306" s="1"/>
  <c r="CW306" s="1"/>
  <c r="CX306" s="1"/>
  <c r="CR306"/>
  <c r="CQ306"/>
  <c r="CT305"/>
  <c r="CS305"/>
  <c r="CU305" s="1"/>
  <c r="CV305" s="1"/>
  <c r="CW305" s="1"/>
  <c r="CX305" s="1"/>
  <c r="CR305"/>
  <c r="CQ305"/>
  <c r="CT304"/>
  <c r="CS304"/>
  <c r="CU304" s="1"/>
  <c r="CV304" s="1"/>
  <c r="CW304" s="1"/>
  <c r="CX304" s="1"/>
  <c r="CR304"/>
  <c r="CQ304"/>
  <c r="CT303"/>
  <c r="CS303"/>
  <c r="CU303" s="1"/>
  <c r="CV303" s="1"/>
  <c r="CW303" s="1"/>
  <c r="CX303" s="1"/>
  <c r="CR303"/>
  <c r="CQ303"/>
  <c r="CT302"/>
  <c r="CS302"/>
  <c r="CU302" s="1"/>
  <c r="CV302" s="1"/>
  <c r="CW302" s="1"/>
  <c r="CX302" s="1"/>
  <c r="CR302"/>
  <c r="CQ302"/>
  <c r="CT301"/>
  <c r="CS301"/>
  <c r="CU301" s="1"/>
  <c r="CV301" s="1"/>
  <c r="CW301" s="1"/>
  <c r="CX301" s="1"/>
  <c r="CR301"/>
  <c r="CQ301"/>
  <c r="CT300"/>
  <c r="CS300"/>
  <c r="CU300" s="1"/>
  <c r="CV300" s="1"/>
  <c r="CW300" s="1"/>
  <c r="CX300" s="1"/>
  <c r="CR300"/>
  <c r="CQ300"/>
  <c r="CT299"/>
  <c r="CS299"/>
  <c r="CU299" s="1"/>
  <c r="CV299" s="1"/>
  <c r="CW299" s="1"/>
  <c r="CX299" s="1"/>
  <c r="CR299"/>
  <c r="CQ299"/>
  <c r="CT298"/>
  <c r="CS298"/>
  <c r="CU298" s="1"/>
  <c r="CV298" s="1"/>
  <c r="CW298" s="1"/>
  <c r="CX298" s="1"/>
  <c r="CR298"/>
  <c r="CQ298"/>
  <c r="CT297"/>
  <c r="CS297"/>
  <c r="CU297" s="1"/>
  <c r="CV297" s="1"/>
  <c r="CW297" s="1"/>
  <c r="CX297" s="1"/>
  <c r="CR297"/>
  <c r="CQ297"/>
  <c r="CT296"/>
  <c r="CS296"/>
  <c r="CU296" s="1"/>
  <c r="CV296" s="1"/>
  <c r="CW296" s="1"/>
  <c r="CX296" s="1"/>
  <c r="CR296"/>
  <c r="CQ296"/>
  <c r="CT295"/>
  <c r="CS295"/>
  <c r="CU295" s="1"/>
  <c r="CV295" s="1"/>
  <c r="CW295" s="1"/>
  <c r="CX295" s="1"/>
  <c r="CR295"/>
  <c r="CQ295"/>
  <c r="CT294"/>
  <c r="CS294"/>
  <c r="CU294" s="1"/>
  <c r="CV294" s="1"/>
  <c r="CW294" s="1"/>
  <c r="CX294" s="1"/>
  <c r="CR294"/>
  <c r="CQ294"/>
  <c r="CT293"/>
  <c r="CS293"/>
  <c r="CU293" s="1"/>
  <c r="CV293" s="1"/>
  <c r="CW293" s="1"/>
  <c r="CX293" s="1"/>
  <c r="CR293"/>
  <c r="CQ293"/>
  <c r="CT292"/>
  <c r="CS292"/>
  <c r="CU292" s="1"/>
  <c r="CV292" s="1"/>
  <c r="CW292" s="1"/>
  <c r="CX292" s="1"/>
  <c r="CR292"/>
  <c r="CQ292"/>
  <c r="CT291"/>
  <c r="CS291"/>
  <c r="CU291" s="1"/>
  <c r="CV291" s="1"/>
  <c r="CW291" s="1"/>
  <c r="CX291" s="1"/>
  <c r="CR291"/>
  <c r="CQ291"/>
  <c r="CT290"/>
  <c r="CS290"/>
  <c r="CU290" s="1"/>
  <c r="CV290" s="1"/>
  <c r="CW290" s="1"/>
  <c r="CX290" s="1"/>
  <c r="CR290"/>
  <c r="CQ290"/>
  <c r="CT289"/>
  <c r="CS289"/>
  <c r="CU289" s="1"/>
  <c r="CV289" s="1"/>
  <c r="CW289" s="1"/>
  <c r="CX289" s="1"/>
  <c r="CR289"/>
  <c r="CQ289"/>
  <c r="CT288"/>
  <c r="CS288"/>
  <c r="CU288" s="1"/>
  <c r="CV288" s="1"/>
  <c r="CW288" s="1"/>
  <c r="CX288" s="1"/>
  <c r="CR288"/>
  <c r="CQ288"/>
  <c r="CT287"/>
  <c r="CS287"/>
  <c r="CU287" s="1"/>
  <c r="CV287" s="1"/>
  <c r="CW287" s="1"/>
  <c r="CX287" s="1"/>
  <c r="CR287"/>
  <c r="CQ287"/>
  <c r="CT286"/>
  <c r="CS286"/>
  <c r="CU286" s="1"/>
  <c r="CV286" s="1"/>
  <c r="CW286" s="1"/>
  <c r="CX286" s="1"/>
  <c r="CR286"/>
  <c r="CQ286"/>
  <c r="CT285"/>
  <c r="CS285"/>
  <c r="CU285" s="1"/>
  <c r="CV285" s="1"/>
  <c r="CW285" s="1"/>
  <c r="CX285" s="1"/>
  <c r="CR285"/>
  <c r="CQ285"/>
  <c r="CT284"/>
  <c r="CS284"/>
  <c r="CU284" s="1"/>
  <c r="CV284" s="1"/>
  <c r="CW284" s="1"/>
  <c r="CX284" s="1"/>
  <c r="CR284"/>
  <c r="CQ284"/>
  <c r="CT283"/>
  <c r="CS283"/>
  <c r="CU283" s="1"/>
  <c r="CV283" s="1"/>
  <c r="CW283" s="1"/>
  <c r="CX283" s="1"/>
  <c r="CR283"/>
  <c r="CQ283"/>
  <c r="CT282"/>
  <c r="CS282"/>
  <c r="CU282" s="1"/>
  <c r="CV282" s="1"/>
  <c r="CW282" s="1"/>
  <c r="CX282" s="1"/>
  <c r="CR282"/>
  <c r="CQ282"/>
  <c r="CT281"/>
  <c r="CS281"/>
  <c r="CU281" s="1"/>
  <c r="CV281" s="1"/>
  <c r="CW281" s="1"/>
  <c r="CX281" s="1"/>
  <c r="CR281"/>
  <c r="CQ281"/>
  <c r="CT280"/>
  <c r="CS280"/>
  <c r="CU280" s="1"/>
  <c r="CV280" s="1"/>
  <c r="CW280" s="1"/>
  <c r="CX280" s="1"/>
  <c r="CR280"/>
  <c r="CQ280"/>
  <c r="CT279"/>
  <c r="CS279"/>
  <c r="CU279" s="1"/>
  <c r="CV279" s="1"/>
  <c r="CW279" s="1"/>
  <c r="CX279" s="1"/>
  <c r="CR279"/>
  <c r="CQ279"/>
  <c r="CT278"/>
  <c r="CS278"/>
  <c r="CU278" s="1"/>
  <c r="CV278" s="1"/>
  <c r="CW278" s="1"/>
  <c r="CX278" s="1"/>
  <c r="CR278"/>
  <c r="CQ278"/>
  <c r="CT277"/>
  <c r="CS277"/>
  <c r="CU277" s="1"/>
  <c r="CV277" s="1"/>
  <c r="CW277" s="1"/>
  <c r="CX277" s="1"/>
  <c r="CR277"/>
  <c r="CQ277"/>
  <c r="CT276"/>
  <c r="CS276"/>
  <c r="CU276" s="1"/>
  <c r="CV276" s="1"/>
  <c r="CW276" s="1"/>
  <c r="CX276" s="1"/>
  <c r="CR276"/>
  <c r="CQ276"/>
  <c r="CT275"/>
  <c r="CS275"/>
  <c r="CU275" s="1"/>
  <c r="CV275" s="1"/>
  <c r="CW275" s="1"/>
  <c r="CX275" s="1"/>
  <c r="CR275"/>
  <c r="CQ275"/>
  <c r="CT274"/>
  <c r="CS274"/>
  <c r="CU274" s="1"/>
  <c r="CV274" s="1"/>
  <c r="CW274" s="1"/>
  <c r="CX274" s="1"/>
  <c r="CR274"/>
  <c r="CQ274"/>
  <c r="CT273"/>
  <c r="CS273"/>
  <c r="CU273" s="1"/>
  <c r="CV273" s="1"/>
  <c r="CW273" s="1"/>
  <c r="CX273" s="1"/>
  <c r="CR273"/>
  <c r="CQ273"/>
  <c r="CT272"/>
  <c r="CS272"/>
  <c r="CU272" s="1"/>
  <c r="CV272" s="1"/>
  <c r="CW272" s="1"/>
  <c r="CX272" s="1"/>
  <c r="CR272"/>
  <c r="CQ272"/>
  <c r="CT271"/>
  <c r="CS271"/>
  <c r="CU271" s="1"/>
  <c r="CV271" s="1"/>
  <c r="CW271" s="1"/>
  <c r="CX271" s="1"/>
  <c r="CR271"/>
  <c r="CQ271"/>
  <c r="CT270"/>
  <c r="CS270"/>
  <c r="CU270" s="1"/>
  <c r="CV270" s="1"/>
  <c r="CW270" s="1"/>
  <c r="CX270" s="1"/>
  <c r="CR270"/>
  <c r="CQ270"/>
  <c r="CT269"/>
  <c r="CS269"/>
  <c r="CU269" s="1"/>
  <c r="CV269" s="1"/>
  <c r="CW269" s="1"/>
  <c r="CX269" s="1"/>
  <c r="CR269"/>
  <c r="CQ269"/>
  <c r="CT268"/>
  <c r="CS268"/>
  <c r="CU268" s="1"/>
  <c r="CV268" s="1"/>
  <c r="CW268" s="1"/>
  <c r="CX268" s="1"/>
  <c r="CR268"/>
  <c r="CQ268"/>
  <c r="CT267"/>
  <c r="CS267"/>
  <c r="CU267" s="1"/>
  <c r="CV267" s="1"/>
  <c r="CW267" s="1"/>
  <c r="CX267" s="1"/>
  <c r="CR267"/>
  <c r="CQ267"/>
  <c r="CT266"/>
  <c r="CS266"/>
  <c r="CU266" s="1"/>
  <c r="CV266" s="1"/>
  <c r="CW266" s="1"/>
  <c r="CX266" s="1"/>
  <c r="CR266"/>
  <c r="CQ266"/>
  <c r="CT265"/>
  <c r="CS265"/>
  <c r="CU265" s="1"/>
  <c r="CV265" s="1"/>
  <c r="CW265" s="1"/>
  <c r="CX265" s="1"/>
  <c r="CR265"/>
  <c r="CQ265"/>
  <c r="CT264"/>
  <c r="CS264"/>
  <c r="CU264" s="1"/>
  <c r="CV264" s="1"/>
  <c r="CW264" s="1"/>
  <c r="CX264" s="1"/>
  <c r="CR264"/>
  <c r="CQ264"/>
  <c r="CT263"/>
  <c r="CS263"/>
  <c r="CU263" s="1"/>
  <c r="CV263" s="1"/>
  <c r="CW263" s="1"/>
  <c r="CX263" s="1"/>
  <c r="CR263"/>
  <c r="CQ263"/>
  <c r="CT262"/>
  <c r="CS262"/>
  <c r="CU262" s="1"/>
  <c r="CV262" s="1"/>
  <c r="CW262" s="1"/>
  <c r="CX262" s="1"/>
  <c r="CR262"/>
  <c r="CQ262"/>
  <c r="CT261"/>
  <c r="CS261"/>
  <c r="CU261" s="1"/>
  <c r="CV261" s="1"/>
  <c r="CW261" s="1"/>
  <c r="CX261" s="1"/>
  <c r="CR261"/>
  <c r="CQ261"/>
  <c r="CT260"/>
  <c r="CS260"/>
  <c r="CU260" s="1"/>
  <c r="CV260" s="1"/>
  <c r="CW260" s="1"/>
  <c r="CX260" s="1"/>
  <c r="CR260"/>
  <c r="CQ260"/>
  <c r="CT259"/>
  <c r="CS259"/>
  <c r="CU259" s="1"/>
  <c r="CV259" s="1"/>
  <c r="CW259" s="1"/>
  <c r="CX259" s="1"/>
  <c r="CR259"/>
  <c r="CQ259"/>
  <c r="CT258"/>
  <c r="CS258"/>
  <c r="CU258" s="1"/>
  <c r="CV258" s="1"/>
  <c r="CW258" s="1"/>
  <c r="CX258" s="1"/>
  <c r="CR258"/>
  <c r="CQ258"/>
  <c r="CT257"/>
  <c r="CS257"/>
  <c r="CU257" s="1"/>
  <c r="CV257" s="1"/>
  <c r="CW257" s="1"/>
  <c r="CX257" s="1"/>
  <c r="CR257"/>
  <c r="CQ257"/>
  <c r="CT256"/>
  <c r="CS256"/>
  <c r="CU256" s="1"/>
  <c r="CV256" s="1"/>
  <c r="CW256" s="1"/>
  <c r="CX256" s="1"/>
  <c r="CR256"/>
  <c r="CQ256"/>
  <c r="CT255"/>
  <c r="CS255"/>
  <c r="CU255" s="1"/>
  <c r="CV255" s="1"/>
  <c r="CW255" s="1"/>
  <c r="CX255" s="1"/>
  <c r="CR255"/>
  <c r="CQ255"/>
  <c r="CT254"/>
  <c r="CS254"/>
  <c r="CU254" s="1"/>
  <c r="CV254" s="1"/>
  <c r="CW254" s="1"/>
  <c r="CX254" s="1"/>
  <c r="CR254"/>
  <c r="CQ254"/>
  <c r="CT253"/>
  <c r="CS253"/>
  <c r="CU253" s="1"/>
  <c r="CV253" s="1"/>
  <c r="CW253" s="1"/>
  <c r="CX253" s="1"/>
  <c r="CR253"/>
  <c r="CQ253"/>
  <c r="CT252"/>
  <c r="CS252"/>
  <c r="CU252" s="1"/>
  <c r="CV252" s="1"/>
  <c r="CW252" s="1"/>
  <c r="CX252" s="1"/>
  <c r="CR252"/>
  <c r="CQ252"/>
  <c r="CT251"/>
  <c r="CS251"/>
  <c r="CU251" s="1"/>
  <c r="CV251" s="1"/>
  <c r="CW251" s="1"/>
  <c r="CX251" s="1"/>
  <c r="CR251"/>
  <c r="CQ251"/>
  <c r="CT250"/>
  <c r="CS250"/>
  <c r="CU250" s="1"/>
  <c r="CV250" s="1"/>
  <c r="CW250" s="1"/>
  <c r="CX250" s="1"/>
  <c r="CR250"/>
  <c r="CQ250"/>
  <c r="CT249"/>
  <c r="CS249"/>
  <c r="CU249" s="1"/>
  <c r="CV249" s="1"/>
  <c r="CW249" s="1"/>
  <c r="CX249" s="1"/>
  <c r="CR249"/>
  <c r="CQ249"/>
  <c r="CT248"/>
  <c r="CS248"/>
  <c r="CU248" s="1"/>
  <c r="CV248" s="1"/>
  <c r="CW248" s="1"/>
  <c r="CX248" s="1"/>
  <c r="CR248"/>
  <c r="CQ248"/>
  <c r="CT247"/>
  <c r="CS247"/>
  <c r="CU247" s="1"/>
  <c r="CV247" s="1"/>
  <c r="CW247" s="1"/>
  <c r="CX247" s="1"/>
  <c r="CR247"/>
  <c r="CQ247"/>
  <c r="CT246"/>
  <c r="CS246"/>
  <c r="CU246" s="1"/>
  <c r="CV246" s="1"/>
  <c r="CW246" s="1"/>
  <c r="CX246" s="1"/>
  <c r="CR246"/>
  <c r="CQ246"/>
  <c r="CT245"/>
  <c r="CS245"/>
  <c r="CU245" s="1"/>
  <c r="CV245" s="1"/>
  <c r="CW245" s="1"/>
  <c r="CX245" s="1"/>
  <c r="CR245"/>
  <c r="CQ245"/>
  <c r="CT244"/>
  <c r="CS244"/>
  <c r="CU244" s="1"/>
  <c r="CV244" s="1"/>
  <c r="CW244" s="1"/>
  <c r="CX244" s="1"/>
  <c r="CR244"/>
  <c r="CQ244"/>
  <c r="CT243"/>
  <c r="CS243"/>
  <c r="CU243" s="1"/>
  <c r="CV243" s="1"/>
  <c r="CW243" s="1"/>
  <c r="CX243" s="1"/>
  <c r="CR243"/>
  <c r="CQ243"/>
  <c r="CT242"/>
  <c r="CS242"/>
  <c r="CU242" s="1"/>
  <c r="CV242" s="1"/>
  <c r="CW242" s="1"/>
  <c r="CX242" s="1"/>
  <c r="CR242"/>
  <c r="CQ242"/>
  <c r="CT241"/>
  <c r="CS241"/>
  <c r="CU241" s="1"/>
  <c r="CV241" s="1"/>
  <c r="CW241" s="1"/>
  <c r="CX241" s="1"/>
  <c r="CR241"/>
  <c r="CQ241"/>
  <c r="CT240"/>
  <c r="CS240"/>
  <c r="CU240" s="1"/>
  <c r="CV240" s="1"/>
  <c r="CW240" s="1"/>
  <c r="CX240" s="1"/>
  <c r="CR240"/>
  <c r="CQ240"/>
  <c r="CT239"/>
  <c r="CS239"/>
  <c r="CU239" s="1"/>
  <c r="CV239" s="1"/>
  <c r="CW239" s="1"/>
  <c r="CX239" s="1"/>
  <c r="CR239"/>
  <c r="CQ239"/>
  <c r="CT238"/>
  <c r="CS238"/>
  <c r="CU238" s="1"/>
  <c r="CV238" s="1"/>
  <c r="CW238" s="1"/>
  <c r="CX238" s="1"/>
  <c r="CR238"/>
  <c r="CQ238"/>
  <c r="CT237"/>
  <c r="CS237"/>
  <c r="CU237" s="1"/>
  <c r="CV237" s="1"/>
  <c r="CW237" s="1"/>
  <c r="CX237" s="1"/>
  <c r="CR237"/>
  <c r="CQ237"/>
  <c r="CT236"/>
  <c r="CS236"/>
  <c r="CU236" s="1"/>
  <c r="CV236" s="1"/>
  <c r="CW236" s="1"/>
  <c r="CX236" s="1"/>
  <c r="CR236"/>
  <c r="CQ236"/>
  <c r="CT235"/>
  <c r="CS235"/>
  <c r="CU235" s="1"/>
  <c r="CV235" s="1"/>
  <c r="CW235" s="1"/>
  <c r="CX235" s="1"/>
  <c r="CR235"/>
  <c r="CQ235"/>
  <c r="CT234"/>
  <c r="CS234"/>
  <c r="CU234" s="1"/>
  <c r="CV234" s="1"/>
  <c r="CW234" s="1"/>
  <c r="CX234" s="1"/>
  <c r="CR234"/>
  <c r="CQ234"/>
  <c r="CT233"/>
  <c r="CS233"/>
  <c r="CU233" s="1"/>
  <c r="CV233" s="1"/>
  <c r="CW233" s="1"/>
  <c r="CX233" s="1"/>
  <c r="CR233"/>
  <c r="CQ233"/>
  <c r="CT232"/>
  <c r="CS232"/>
  <c r="CU232" s="1"/>
  <c r="CV232" s="1"/>
  <c r="CW232" s="1"/>
  <c r="CX232" s="1"/>
  <c r="CR232"/>
  <c r="CQ232"/>
  <c r="CT231"/>
  <c r="CS231"/>
  <c r="CU231" s="1"/>
  <c r="CV231" s="1"/>
  <c r="CW231" s="1"/>
  <c r="CX231" s="1"/>
  <c r="CR231"/>
  <c r="CQ231"/>
  <c r="CT230"/>
  <c r="CS230"/>
  <c r="CU230" s="1"/>
  <c r="CV230" s="1"/>
  <c r="CW230" s="1"/>
  <c r="CX230" s="1"/>
  <c r="CR230"/>
  <c r="CQ230"/>
  <c r="CT229"/>
  <c r="CS229"/>
  <c r="CU229" s="1"/>
  <c r="CV229" s="1"/>
  <c r="CW229" s="1"/>
  <c r="CX229" s="1"/>
  <c r="CR229"/>
  <c r="CQ229"/>
  <c r="CT228"/>
  <c r="CS228"/>
  <c r="CU228" s="1"/>
  <c r="CV228" s="1"/>
  <c r="CW228" s="1"/>
  <c r="CX228" s="1"/>
  <c r="CR228"/>
  <c r="CQ228"/>
  <c r="CT227"/>
  <c r="CS227"/>
  <c r="CU227" s="1"/>
  <c r="CV227" s="1"/>
  <c r="CW227" s="1"/>
  <c r="CX227" s="1"/>
  <c r="CR227"/>
  <c r="CQ227"/>
  <c r="CT226"/>
  <c r="CS226"/>
  <c r="CU226" s="1"/>
  <c r="CV226" s="1"/>
  <c r="CW226" s="1"/>
  <c r="CX226" s="1"/>
  <c r="CR226"/>
  <c r="CQ226"/>
  <c r="CT225"/>
  <c r="CS225"/>
  <c r="CU225" s="1"/>
  <c r="CV225" s="1"/>
  <c r="CW225" s="1"/>
  <c r="CX225" s="1"/>
  <c r="CR225"/>
  <c r="CQ225"/>
  <c r="CT224"/>
  <c r="CS224"/>
  <c r="CU224" s="1"/>
  <c r="CV224" s="1"/>
  <c r="CW224" s="1"/>
  <c r="CX224" s="1"/>
  <c r="CR224"/>
  <c r="CQ224"/>
  <c r="CT223"/>
  <c r="CS223"/>
  <c r="CU223" s="1"/>
  <c r="CV223" s="1"/>
  <c r="CW223" s="1"/>
  <c r="CX223" s="1"/>
  <c r="CR223"/>
  <c r="CQ223"/>
  <c r="CT222"/>
  <c r="CS222"/>
  <c r="CU222" s="1"/>
  <c r="CV222" s="1"/>
  <c r="CW222" s="1"/>
  <c r="CX222" s="1"/>
  <c r="CR222"/>
  <c r="CQ222"/>
  <c r="CT221"/>
  <c r="CS221"/>
  <c r="CU221" s="1"/>
  <c r="CV221" s="1"/>
  <c r="CW221" s="1"/>
  <c r="CX221" s="1"/>
  <c r="CR221"/>
  <c r="CQ221"/>
  <c r="CT220"/>
  <c r="CS220"/>
  <c r="CU220" s="1"/>
  <c r="CV220" s="1"/>
  <c r="CW220" s="1"/>
  <c r="CX220" s="1"/>
  <c r="CR220"/>
  <c r="CQ220"/>
  <c r="CT219"/>
  <c r="CS219"/>
  <c r="CU219" s="1"/>
  <c r="CV219" s="1"/>
  <c r="CW219" s="1"/>
  <c r="CX219" s="1"/>
  <c r="CR219"/>
  <c r="CQ219"/>
  <c r="CT218"/>
  <c r="CS218"/>
  <c r="CU218" s="1"/>
  <c r="CV218" s="1"/>
  <c r="CW218" s="1"/>
  <c r="CX218" s="1"/>
  <c r="CR218"/>
  <c r="CQ218"/>
  <c r="CT217"/>
  <c r="CS217"/>
  <c r="CU217" s="1"/>
  <c r="CV217" s="1"/>
  <c r="CW217" s="1"/>
  <c r="CX217" s="1"/>
  <c r="CR217"/>
  <c r="CQ217"/>
  <c r="CT216"/>
  <c r="CS216"/>
  <c r="CU216" s="1"/>
  <c r="CV216" s="1"/>
  <c r="CW216" s="1"/>
  <c r="CX216" s="1"/>
  <c r="CR216"/>
  <c r="CQ216"/>
  <c r="CT215"/>
  <c r="CS215"/>
  <c r="CU215" s="1"/>
  <c r="CV215" s="1"/>
  <c r="CW215" s="1"/>
  <c r="CX215" s="1"/>
  <c r="CR215"/>
  <c r="CQ215"/>
  <c r="CT214"/>
  <c r="CS214"/>
  <c r="CU214" s="1"/>
  <c r="CV214" s="1"/>
  <c r="CW214" s="1"/>
  <c r="CX214" s="1"/>
  <c r="CR214"/>
  <c r="CQ214"/>
  <c r="CT213"/>
  <c r="CS213"/>
  <c r="CU213" s="1"/>
  <c r="CV213" s="1"/>
  <c r="CW213" s="1"/>
  <c r="CX213" s="1"/>
  <c r="CR213"/>
  <c r="CQ213"/>
  <c r="CT212"/>
  <c r="CS212"/>
  <c r="CU212" s="1"/>
  <c r="CV212" s="1"/>
  <c r="CW212" s="1"/>
  <c r="CX212" s="1"/>
  <c r="CR212"/>
  <c r="CQ212"/>
  <c r="CT211"/>
  <c r="CS211"/>
  <c r="CU211" s="1"/>
  <c r="CV211" s="1"/>
  <c r="CW211" s="1"/>
  <c r="CX211" s="1"/>
  <c r="CR211"/>
  <c r="CQ211"/>
  <c r="CT210"/>
  <c r="CS210"/>
  <c r="CU210" s="1"/>
  <c r="CV210" s="1"/>
  <c r="CW210" s="1"/>
  <c r="CX210" s="1"/>
  <c r="CR210"/>
  <c r="CQ210"/>
  <c r="CT209"/>
  <c r="CS209"/>
  <c r="CU209" s="1"/>
  <c r="CV209" s="1"/>
  <c r="CW209" s="1"/>
  <c r="CX209" s="1"/>
  <c r="CR209"/>
  <c r="CQ209"/>
  <c r="CT208"/>
  <c r="CS208"/>
  <c r="CU208" s="1"/>
  <c r="CV208" s="1"/>
  <c r="CW208" s="1"/>
  <c r="CX208" s="1"/>
  <c r="CR208"/>
  <c r="CQ208"/>
  <c r="CT207"/>
  <c r="CS207"/>
  <c r="CU207" s="1"/>
  <c r="CV207" s="1"/>
  <c r="CW207" s="1"/>
  <c r="CX207" s="1"/>
  <c r="CR207"/>
  <c r="CQ207"/>
  <c r="CT206"/>
  <c r="CS206"/>
  <c r="CU206" s="1"/>
  <c r="CV206" s="1"/>
  <c r="CW206" s="1"/>
  <c r="CX206" s="1"/>
  <c r="CR206"/>
  <c r="CQ206"/>
  <c r="CT205"/>
  <c r="CS205"/>
  <c r="CU205" s="1"/>
  <c r="CV205" s="1"/>
  <c r="CW205" s="1"/>
  <c r="CX205" s="1"/>
  <c r="CR205"/>
  <c r="CQ205"/>
  <c r="CT204"/>
  <c r="CS204"/>
  <c r="CU204" s="1"/>
  <c r="CV204" s="1"/>
  <c r="CW204" s="1"/>
  <c r="CX204" s="1"/>
  <c r="CR204"/>
  <c r="CQ204"/>
  <c r="CT203"/>
  <c r="CS203"/>
  <c r="CU203" s="1"/>
  <c r="CV203" s="1"/>
  <c r="CW203" s="1"/>
  <c r="CX203" s="1"/>
  <c r="CR203"/>
  <c r="CQ203"/>
  <c r="CT202"/>
  <c r="CS202"/>
  <c r="CU202" s="1"/>
  <c r="CV202" s="1"/>
  <c r="CW202" s="1"/>
  <c r="CX202" s="1"/>
  <c r="CR202"/>
  <c r="CQ202"/>
  <c r="CT201"/>
  <c r="CS201"/>
  <c r="CU201" s="1"/>
  <c r="CV201" s="1"/>
  <c r="CW201" s="1"/>
  <c r="CX201" s="1"/>
  <c r="CR201"/>
  <c r="CQ201"/>
  <c r="CT200"/>
  <c r="CS200"/>
  <c r="CU200" s="1"/>
  <c r="CV200" s="1"/>
  <c r="CW200" s="1"/>
  <c r="CX200" s="1"/>
  <c r="CR200"/>
  <c r="CQ200"/>
  <c r="CT199"/>
  <c r="CS199"/>
  <c r="CU199" s="1"/>
  <c r="CV199" s="1"/>
  <c r="CW199" s="1"/>
  <c r="CX199" s="1"/>
  <c r="CR199"/>
  <c r="CQ199"/>
  <c r="CT198"/>
  <c r="CS198"/>
  <c r="CU198" s="1"/>
  <c r="CV198" s="1"/>
  <c r="CW198" s="1"/>
  <c r="CX198" s="1"/>
  <c r="CR198"/>
  <c r="CQ198"/>
  <c r="CT197"/>
  <c r="CS197"/>
  <c r="CU197" s="1"/>
  <c r="CV197" s="1"/>
  <c r="CW197" s="1"/>
  <c r="CX197" s="1"/>
  <c r="CR197"/>
  <c r="CQ197"/>
  <c r="CT196"/>
  <c r="CS196"/>
  <c r="CU196" s="1"/>
  <c r="CV196" s="1"/>
  <c r="CW196" s="1"/>
  <c r="CX196" s="1"/>
  <c r="CR196"/>
  <c r="CQ196"/>
  <c r="CT195"/>
  <c r="CS195"/>
  <c r="CU195" s="1"/>
  <c r="CV195" s="1"/>
  <c r="CW195" s="1"/>
  <c r="CX195" s="1"/>
  <c r="CR195"/>
  <c r="CQ195"/>
  <c r="CT194"/>
  <c r="CS194"/>
  <c r="CU194" s="1"/>
  <c r="CV194" s="1"/>
  <c r="CW194" s="1"/>
  <c r="CX194" s="1"/>
  <c r="CR194"/>
  <c r="CQ194"/>
  <c r="CT193"/>
  <c r="CS193"/>
  <c r="CU193" s="1"/>
  <c r="CV193" s="1"/>
  <c r="CW193" s="1"/>
  <c r="CX193" s="1"/>
  <c r="CR193"/>
  <c r="CQ193"/>
  <c r="CT192"/>
  <c r="CS192"/>
  <c r="CU192" s="1"/>
  <c r="CV192" s="1"/>
  <c r="CW192" s="1"/>
  <c r="CX192" s="1"/>
  <c r="CR192"/>
  <c r="CQ192"/>
  <c r="CT191"/>
  <c r="CS191"/>
  <c r="CU191" s="1"/>
  <c r="CV191" s="1"/>
  <c r="CW191" s="1"/>
  <c r="CX191" s="1"/>
  <c r="CR191"/>
  <c r="CQ191"/>
  <c r="CT190"/>
  <c r="CS190"/>
  <c r="CU190" s="1"/>
  <c r="CV190" s="1"/>
  <c r="CW190" s="1"/>
  <c r="CX190" s="1"/>
  <c r="CR190"/>
  <c r="CQ190"/>
  <c r="CT189"/>
  <c r="CS189"/>
  <c r="CU189" s="1"/>
  <c r="CV189" s="1"/>
  <c r="CW189" s="1"/>
  <c r="CX189" s="1"/>
  <c r="CR189"/>
  <c r="CQ189"/>
  <c r="CT188"/>
  <c r="CS188"/>
  <c r="CU188" s="1"/>
  <c r="CV188" s="1"/>
  <c r="CW188" s="1"/>
  <c r="CX188" s="1"/>
  <c r="CR188"/>
  <c r="CQ188"/>
  <c r="CT187"/>
  <c r="CS187"/>
  <c r="CU187" s="1"/>
  <c r="CV187" s="1"/>
  <c r="CW187" s="1"/>
  <c r="CX187" s="1"/>
  <c r="CR187"/>
  <c r="CQ187"/>
  <c r="CT186"/>
  <c r="CS186"/>
  <c r="CU186" s="1"/>
  <c r="CV186" s="1"/>
  <c r="CW186" s="1"/>
  <c r="CX186" s="1"/>
  <c r="CR186"/>
  <c r="CQ186"/>
  <c r="CT185"/>
  <c r="CS185"/>
  <c r="CU185" s="1"/>
  <c r="CV185" s="1"/>
  <c r="CW185" s="1"/>
  <c r="CX185" s="1"/>
  <c r="CR185"/>
  <c r="CQ185"/>
  <c r="CT184"/>
  <c r="CS184"/>
  <c r="CU184" s="1"/>
  <c r="CV184" s="1"/>
  <c r="CW184" s="1"/>
  <c r="CX184" s="1"/>
  <c r="CR184"/>
  <c r="CQ184"/>
  <c r="CT183"/>
  <c r="CS183"/>
  <c r="CU183" s="1"/>
  <c r="CV183" s="1"/>
  <c r="CW183" s="1"/>
  <c r="CX183" s="1"/>
  <c r="CR183"/>
  <c r="CQ183"/>
  <c r="CT182"/>
  <c r="CS182"/>
  <c r="CU182" s="1"/>
  <c r="CV182" s="1"/>
  <c r="CW182" s="1"/>
  <c r="CX182" s="1"/>
  <c r="CR182"/>
  <c r="CQ182"/>
  <c r="CT181"/>
  <c r="CS181"/>
  <c r="CU181" s="1"/>
  <c r="CV181" s="1"/>
  <c r="CW181" s="1"/>
  <c r="CX181" s="1"/>
  <c r="CR181"/>
  <c r="CQ181"/>
  <c r="CT180"/>
  <c r="CS180"/>
  <c r="CU180" s="1"/>
  <c r="CV180" s="1"/>
  <c r="CW180" s="1"/>
  <c r="CX180" s="1"/>
  <c r="CR180"/>
  <c r="CQ180"/>
  <c r="CT179"/>
  <c r="CS179"/>
  <c r="CU179" s="1"/>
  <c r="CV179" s="1"/>
  <c r="CW179" s="1"/>
  <c r="CX179" s="1"/>
  <c r="CR179"/>
  <c r="CQ179"/>
  <c r="CT178"/>
  <c r="CS178"/>
  <c r="CU178" s="1"/>
  <c r="CV178" s="1"/>
  <c r="CW178" s="1"/>
  <c r="CX178" s="1"/>
  <c r="CR178"/>
  <c r="CQ178"/>
  <c r="CT177"/>
  <c r="CS177"/>
  <c r="CU177" s="1"/>
  <c r="CV177" s="1"/>
  <c r="CW177" s="1"/>
  <c r="CX177" s="1"/>
  <c r="CR177"/>
  <c r="CQ177"/>
  <c r="CT176"/>
  <c r="CS176"/>
  <c r="CU176" s="1"/>
  <c r="CV176" s="1"/>
  <c r="CW176" s="1"/>
  <c r="CX176" s="1"/>
  <c r="CR176"/>
  <c r="CQ176"/>
  <c r="CT175"/>
  <c r="CS175"/>
  <c r="CU175" s="1"/>
  <c r="CV175" s="1"/>
  <c r="CW175" s="1"/>
  <c r="CX175" s="1"/>
  <c r="CR175"/>
  <c r="CQ175"/>
  <c r="CT174"/>
  <c r="CS174"/>
  <c r="CU174" s="1"/>
  <c r="CV174" s="1"/>
  <c r="CW174" s="1"/>
  <c r="CX174" s="1"/>
  <c r="CR174"/>
  <c r="CQ174"/>
  <c r="CT173"/>
  <c r="CS173"/>
  <c r="CU173" s="1"/>
  <c r="CV173" s="1"/>
  <c r="CW173" s="1"/>
  <c r="CX173" s="1"/>
  <c r="CR173"/>
  <c r="CQ173"/>
  <c r="CT172"/>
  <c r="CS172"/>
  <c r="CU172" s="1"/>
  <c r="CV172" s="1"/>
  <c r="CW172" s="1"/>
  <c r="CX172" s="1"/>
  <c r="CR172"/>
  <c r="CQ172"/>
  <c r="CT171"/>
  <c r="CS171"/>
  <c r="CU171" s="1"/>
  <c r="CV171" s="1"/>
  <c r="CW171" s="1"/>
  <c r="CX171" s="1"/>
  <c r="CR171"/>
  <c r="CQ171"/>
  <c r="CT170"/>
  <c r="CS170"/>
  <c r="CU170" s="1"/>
  <c r="CV170" s="1"/>
  <c r="CW170" s="1"/>
  <c r="CX170" s="1"/>
  <c r="CR170"/>
  <c r="CQ170"/>
  <c r="CT169"/>
  <c r="CS169"/>
  <c r="CU169" s="1"/>
  <c r="CV169" s="1"/>
  <c r="CW169" s="1"/>
  <c r="CX169" s="1"/>
  <c r="CR169"/>
  <c r="CQ169"/>
  <c r="CT168"/>
  <c r="CS168"/>
  <c r="CU168" s="1"/>
  <c r="CV168" s="1"/>
  <c r="CW168" s="1"/>
  <c r="CX168" s="1"/>
  <c r="CR168"/>
  <c r="CQ168"/>
  <c r="CT167"/>
  <c r="CS167"/>
  <c r="CU167" s="1"/>
  <c r="CV167" s="1"/>
  <c r="CW167" s="1"/>
  <c r="CX167" s="1"/>
  <c r="CR167"/>
  <c r="CQ167"/>
  <c r="CT166"/>
  <c r="CS166"/>
  <c r="CU166" s="1"/>
  <c r="CV166" s="1"/>
  <c r="CW166" s="1"/>
  <c r="CX166" s="1"/>
  <c r="CR166"/>
  <c r="CQ166"/>
  <c r="CT165"/>
  <c r="CS165"/>
  <c r="CU165" s="1"/>
  <c r="CV165" s="1"/>
  <c r="CW165" s="1"/>
  <c r="CX165" s="1"/>
  <c r="CR165"/>
  <c r="CQ165"/>
  <c r="CT164"/>
  <c r="CS164"/>
  <c r="CU164" s="1"/>
  <c r="CR164"/>
  <c r="CQ164"/>
  <c r="CT163"/>
  <c r="CS163"/>
  <c r="CU163" s="1"/>
  <c r="CV163" s="1"/>
  <c r="CW163" s="1"/>
  <c r="CX163" s="1"/>
  <c r="CR163"/>
  <c r="CQ163"/>
  <c r="CT162"/>
  <c r="CS162"/>
  <c r="CU162" s="1"/>
  <c r="CV162" s="1"/>
  <c r="CW162" s="1"/>
  <c r="CX162" s="1"/>
  <c r="CR162"/>
  <c r="CQ162"/>
  <c r="CT161"/>
  <c r="CS161"/>
  <c r="CU161" s="1"/>
  <c r="CV161" s="1"/>
  <c r="CW161" s="1"/>
  <c r="CX161" s="1"/>
  <c r="CR161"/>
  <c r="CQ161"/>
  <c r="CT160"/>
  <c r="CS160"/>
  <c r="CU160" s="1"/>
  <c r="CV160" s="1"/>
  <c r="CW160" s="1"/>
  <c r="CX160" s="1"/>
  <c r="CR160"/>
  <c r="CQ160"/>
  <c r="CT159"/>
  <c r="CS159"/>
  <c r="CU159" s="1"/>
  <c r="CV159" s="1"/>
  <c r="CW159" s="1"/>
  <c r="CX159" s="1"/>
  <c r="CR159"/>
  <c r="CQ159"/>
  <c r="CT158"/>
  <c r="CS158"/>
  <c r="CU158" s="1"/>
  <c r="CV158" s="1"/>
  <c r="CW158" s="1"/>
  <c r="CX158" s="1"/>
  <c r="CR158"/>
  <c r="CQ158"/>
  <c r="CT157"/>
  <c r="CS157"/>
  <c r="CU157" s="1"/>
  <c r="CV157" s="1"/>
  <c r="CW157" s="1"/>
  <c r="CX157" s="1"/>
  <c r="CR157"/>
  <c r="CQ157"/>
  <c r="CT156"/>
  <c r="CS156"/>
  <c r="CU156" s="1"/>
  <c r="CV156" s="1"/>
  <c r="CW156" s="1"/>
  <c r="CX156" s="1"/>
  <c r="CR156"/>
  <c r="CQ156"/>
  <c r="CT155"/>
  <c r="CS155"/>
  <c r="CU155" s="1"/>
  <c r="CV155" s="1"/>
  <c r="CW155" s="1"/>
  <c r="CX155" s="1"/>
  <c r="CR155"/>
  <c r="CQ155"/>
  <c r="CT154"/>
  <c r="CS154"/>
  <c r="CU154" s="1"/>
  <c r="CV154" s="1"/>
  <c r="CW154" s="1"/>
  <c r="CX154" s="1"/>
  <c r="CR154"/>
  <c r="CQ154"/>
  <c r="CT153"/>
  <c r="CS153"/>
  <c r="CU153" s="1"/>
  <c r="CV153" s="1"/>
  <c r="CW153" s="1"/>
  <c r="CX153" s="1"/>
  <c r="CR153"/>
  <c r="CQ153"/>
  <c r="CT152"/>
  <c r="CS152"/>
  <c r="CU152" s="1"/>
  <c r="CV152" s="1"/>
  <c r="CW152" s="1"/>
  <c r="CX152" s="1"/>
  <c r="CR152"/>
  <c r="CQ152"/>
  <c r="CT151"/>
  <c r="CS151"/>
  <c r="CU151" s="1"/>
  <c r="CV151" s="1"/>
  <c r="CW151" s="1"/>
  <c r="CX151" s="1"/>
  <c r="CR151"/>
  <c r="CQ151"/>
  <c r="CT150"/>
  <c r="CS150"/>
  <c r="CU150" s="1"/>
  <c r="CV150" s="1"/>
  <c r="CW150" s="1"/>
  <c r="CX150" s="1"/>
  <c r="CR150"/>
  <c r="CQ150"/>
  <c r="CT149"/>
  <c r="CS149"/>
  <c r="CU149" s="1"/>
  <c r="CV149" s="1"/>
  <c r="CW149" s="1"/>
  <c r="CX149" s="1"/>
  <c r="CR149"/>
  <c r="CQ149"/>
  <c r="CT148"/>
  <c r="CS148"/>
  <c r="CU148" s="1"/>
  <c r="CV148" s="1"/>
  <c r="CW148" s="1"/>
  <c r="CX148" s="1"/>
  <c r="CR148"/>
  <c r="CQ148"/>
  <c r="CT147"/>
  <c r="CS147"/>
  <c r="CU147" s="1"/>
  <c r="CV147" s="1"/>
  <c r="CW147" s="1"/>
  <c r="CX147" s="1"/>
  <c r="CR147"/>
  <c r="CQ147"/>
  <c r="CT146"/>
  <c r="CS146"/>
  <c r="CU146" s="1"/>
  <c r="CV146" s="1"/>
  <c r="CW146" s="1"/>
  <c r="CX146" s="1"/>
  <c r="CR146"/>
  <c r="CQ146"/>
  <c r="CT145"/>
  <c r="CS145"/>
  <c r="CU145" s="1"/>
  <c r="CV145" s="1"/>
  <c r="CW145" s="1"/>
  <c r="CX145" s="1"/>
  <c r="CR145"/>
  <c r="CQ145"/>
  <c r="CT144"/>
  <c r="CS144"/>
  <c r="CU144" s="1"/>
  <c r="CV144" s="1"/>
  <c r="CW144" s="1"/>
  <c r="CX144" s="1"/>
  <c r="CR144"/>
  <c r="CQ144"/>
  <c r="CT143"/>
  <c r="CS143"/>
  <c r="CU143" s="1"/>
  <c r="CV143" s="1"/>
  <c r="CW143" s="1"/>
  <c r="CX143" s="1"/>
  <c r="CR143"/>
  <c r="CQ143"/>
  <c r="CT142"/>
  <c r="CS142"/>
  <c r="CU142" s="1"/>
  <c r="CV142" s="1"/>
  <c r="CW142" s="1"/>
  <c r="CX142" s="1"/>
  <c r="CR142"/>
  <c r="CQ142"/>
  <c r="CT141"/>
  <c r="CS141"/>
  <c r="CU141" s="1"/>
  <c r="CV141" s="1"/>
  <c r="CW141" s="1"/>
  <c r="CX141" s="1"/>
  <c r="CR141"/>
  <c r="CQ141"/>
  <c r="CT140"/>
  <c r="CS140"/>
  <c r="CU140" s="1"/>
  <c r="CV140" s="1"/>
  <c r="CW140" s="1"/>
  <c r="CX140" s="1"/>
  <c r="CR140"/>
  <c r="CQ140"/>
  <c r="CT139"/>
  <c r="CS139"/>
  <c r="CU139" s="1"/>
  <c r="CV139" s="1"/>
  <c r="CW139" s="1"/>
  <c r="CX139" s="1"/>
  <c r="CR139"/>
  <c r="CQ139"/>
  <c r="CT138"/>
  <c r="CS138"/>
  <c r="CU138" s="1"/>
  <c r="CV138" s="1"/>
  <c r="CW138" s="1"/>
  <c r="CX138" s="1"/>
  <c r="CR138"/>
  <c r="CQ138"/>
  <c r="CT137"/>
  <c r="CS137"/>
  <c r="CU137" s="1"/>
  <c r="CV137" s="1"/>
  <c r="CW137" s="1"/>
  <c r="CX137" s="1"/>
  <c r="CR137"/>
  <c r="CQ137"/>
  <c r="CT136"/>
  <c r="CS136"/>
  <c r="CU136" s="1"/>
  <c r="CV136" s="1"/>
  <c r="CW136" s="1"/>
  <c r="CX136" s="1"/>
  <c r="CR136"/>
  <c r="CQ136"/>
  <c r="CT135"/>
  <c r="CS135"/>
  <c r="CU135" s="1"/>
  <c r="CV135" s="1"/>
  <c r="CW135" s="1"/>
  <c r="CX135" s="1"/>
  <c r="CR135"/>
  <c r="CQ135"/>
  <c r="CT134"/>
  <c r="CS134"/>
  <c r="CU134" s="1"/>
  <c r="CV134" s="1"/>
  <c r="CW134" s="1"/>
  <c r="CX134" s="1"/>
  <c r="CR134"/>
  <c r="CQ134"/>
  <c r="CT133"/>
  <c r="CS133"/>
  <c r="CU133" s="1"/>
  <c r="CV133" s="1"/>
  <c r="CW133" s="1"/>
  <c r="CX133" s="1"/>
  <c r="CR133"/>
  <c r="CQ133"/>
  <c r="CT132"/>
  <c r="CS132"/>
  <c r="CU132" s="1"/>
  <c r="CV132" s="1"/>
  <c r="CW132" s="1"/>
  <c r="CX132" s="1"/>
  <c r="CR132"/>
  <c r="CQ132"/>
  <c r="CT131"/>
  <c r="CS131"/>
  <c r="CU131" s="1"/>
  <c r="CV131" s="1"/>
  <c r="CW131" s="1"/>
  <c r="CX131" s="1"/>
  <c r="CR131"/>
  <c r="CQ131"/>
  <c r="CT130"/>
  <c r="CS130"/>
  <c r="CU130" s="1"/>
  <c r="CV130" s="1"/>
  <c r="CW130" s="1"/>
  <c r="CX130" s="1"/>
  <c r="CR130"/>
  <c r="CQ130"/>
  <c r="CT129"/>
  <c r="CS129"/>
  <c r="CU129" s="1"/>
  <c r="CV129" s="1"/>
  <c r="CW129" s="1"/>
  <c r="CX129" s="1"/>
  <c r="CR129"/>
  <c r="CQ129"/>
  <c r="CT128"/>
  <c r="CS128"/>
  <c r="CU128" s="1"/>
  <c r="CV128" s="1"/>
  <c r="CW128" s="1"/>
  <c r="CX128" s="1"/>
  <c r="CR128"/>
  <c r="CQ128"/>
  <c r="CT127"/>
  <c r="CS127"/>
  <c r="CU127" s="1"/>
  <c r="CV127" s="1"/>
  <c r="CW127" s="1"/>
  <c r="CX127" s="1"/>
  <c r="CR127"/>
  <c r="CQ127"/>
  <c r="CT126"/>
  <c r="CS126"/>
  <c r="CU126" s="1"/>
  <c r="CV126" s="1"/>
  <c r="CW126" s="1"/>
  <c r="CX126" s="1"/>
  <c r="CR126"/>
  <c r="CQ126"/>
  <c r="CT125"/>
  <c r="CS125"/>
  <c r="CU125" s="1"/>
  <c r="CV125" s="1"/>
  <c r="CW125" s="1"/>
  <c r="CX125" s="1"/>
  <c r="CR125"/>
  <c r="CQ125"/>
  <c r="CT124"/>
  <c r="CS124"/>
  <c r="CU124" s="1"/>
  <c r="CV124" s="1"/>
  <c r="CW124" s="1"/>
  <c r="CX124" s="1"/>
  <c r="CR124"/>
  <c r="CQ124"/>
  <c r="CT123"/>
  <c r="CS123"/>
  <c r="CU123" s="1"/>
  <c r="CV123" s="1"/>
  <c r="CW123" s="1"/>
  <c r="CX123" s="1"/>
  <c r="CR123"/>
  <c r="CQ123"/>
  <c r="CT122"/>
  <c r="CS122"/>
  <c r="CU122" s="1"/>
  <c r="CV122" s="1"/>
  <c r="CW122" s="1"/>
  <c r="CX122" s="1"/>
  <c r="CR122"/>
  <c r="CQ122"/>
  <c r="CT121"/>
  <c r="CS121"/>
  <c r="CU121" s="1"/>
  <c r="CV121" s="1"/>
  <c r="CW121" s="1"/>
  <c r="CX121" s="1"/>
  <c r="CR121"/>
  <c r="CQ121"/>
  <c r="CT120"/>
  <c r="CS120"/>
  <c r="CU120" s="1"/>
  <c r="CV120" s="1"/>
  <c r="CW120" s="1"/>
  <c r="CX120" s="1"/>
  <c r="CR120"/>
  <c r="CQ120"/>
  <c r="CT119"/>
  <c r="CS119"/>
  <c r="CU119" s="1"/>
  <c r="CV119" s="1"/>
  <c r="CW119" s="1"/>
  <c r="CX119" s="1"/>
  <c r="CR119"/>
  <c r="CQ119"/>
  <c r="CT118"/>
  <c r="CS118"/>
  <c r="CU118" s="1"/>
  <c r="CV118" s="1"/>
  <c r="CW118" s="1"/>
  <c r="CX118" s="1"/>
  <c r="CR118"/>
  <c r="CQ118"/>
  <c r="CT117"/>
  <c r="CS117"/>
  <c r="CU117" s="1"/>
  <c r="CV117" s="1"/>
  <c r="CW117" s="1"/>
  <c r="CX117" s="1"/>
  <c r="CR117"/>
  <c r="CQ117"/>
  <c r="CT116"/>
  <c r="CS116"/>
  <c r="CU116" s="1"/>
  <c r="CV116" s="1"/>
  <c r="CW116" s="1"/>
  <c r="CX116" s="1"/>
  <c r="CR116"/>
  <c r="CQ116"/>
  <c r="CT115"/>
  <c r="CS115"/>
  <c r="CU115" s="1"/>
  <c r="CV115" s="1"/>
  <c r="CW115" s="1"/>
  <c r="CX115" s="1"/>
  <c r="CR115"/>
  <c r="CQ115"/>
  <c r="CT114"/>
  <c r="CS114"/>
  <c r="CU114" s="1"/>
  <c r="CV114" s="1"/>
  <c r="CW114" s="1"/>
  <c r="CX114" s="1"/>
  <c r="CR114"/>
  <c r="CQ114"/>
  <c r="CT113"/>
  <c r="CS113"/>
  <c r="CU113" s="1"/>
  <c r="CV113" s="1"/>
  <c r="CW113" s="1"/>
  <c r="CX113" s="1"/>
  <c r="CR113"/>
  <c r="CQ113"/>
  <c r="CT112"/>
  <c r="CS112"/>
  <c r="CU112" s="1"/>
  <c r="CV112" s="1"/>
  <c r="CW112" s="1"/>
  <c r="CX112" s="1"/>
  <c r="CR112"/>
  <c r="CQ112"/>
  <c r="CT111"/>
  <c r="CS111"/>
  <c r="CU111" s="1"/>
  <c r="CV111" s="1"/>
  <c r="CW111" s="1"/>
  <c r="CX111" s="1"/>
  <c r="CR111"/>
  <c r="CQ111"/>
  <c r="CT110"/>
  <c r="CS110"/>
  <c r="CU110" s="1"/>
  <c r="CV110" s="1"/>
  <c r="CW110" s="1"/>
  <c r="CX110" s="1"/>
  <c r="CR110"/>
  <c r="CQ110"/>
  <c r="CT109"/>
  <c r="CS109"/>
  <c r="CU109" s="1"/>
  <c r="CV109" s="1"/>
  <c r="CW109" s="1"/>
  <c r="CX109" s="1"/>
  <c r="CR109"/>
  <c r="CQ109"/>
  <c r="CT108"/>
  <c r="CS108"/>
  <c r="CU108" s="1"/>
  <c r="CV108" s="1"/>
  <c r="CW108" s="1"/>
  <c r="CX108" s="1"/>
  <c r="CR108"/>
  <c r="CQ108"/>
  <c r="CT107"/>
  <c r="CS107"/>
  <c r="CU107" s="1"/>
  <c r="CV107" s="1"/>
  <c r="CW107" s="1"/>
  <c r="CX107" s="1"/>
  <c r="CR107"/>
  <c r="CQ107"/>
  <c r="CT106"/>
  <c r="CS106"/>
  <c r="CU106" s="1"/>
  <c r="CV106" s="1"/>
  <c r="CW106" s="1"/>
  <c r="CX106" s="1"/>
  <c r="CR106"/>
  <c r="CQ106"/>
  <c r="CT105"/>
  <c r="CS105"/>
  <c r="CU105" s="1"/>
  <c r="CV105" s="1"/>
  <c r="CW105" s="1"/>
  <c r="CX105" s="1"/>
  <c r="CR105"/>
  <c r="CQ105"/>
  <c r="CT104"/>
  <c r="CS104"/>
  <c r="CU104" s="1"/>
  <c r="CV104" s="1"/>
  <c r="CW104" s="1"/>
  <c r="CX104" s="1"/>
  <c r="CR104"/>
  <c r="CQ104"/>
  <c r="CT103"/>
  <c r="CS103"/>
  <c r="CU103" s="1"/>
  <c r="CV103" s="1"/>
  <c r="CW103" s="1"/>
  <c r="CX103" s="1"/>
  <c r="CR103"/>
  <c r="CQ103"/>
  <c r="CT102"/>
  <c r="CS102"/>
  <c r="CU102" s="1"/>
  <c r="CV102" s="1"/>
  <c r="CW102" s="1"/>
  <c r="CX102" s="1"/>
  <c r="CR102"/>
  <c r="CQ102"/>
  <c r="CT101"/>
  <c r="CS101"/>
  <c r="CU101" s="1"/>
  <c r="CV101" s="1"/>
  <c r="CW101" s="1"/>
  <c r="CX101" s="1"/>
  <c r="CR101"/>
  <c r="CQ101"/>
  <c r="CT100"/>
  <c r="CS100"/>
  <c r="CU100" s="1"/>
  <c r="CV100" s="1"/>
  <c r="CW100" s="1"/>
  <c r="CX100" s="1"/>
  <c r="CR100"/>
  <c r="CQ100"/>
  <c r="CT99"/>
  <c r="CS99"/>
  <c r="CU99" s="1"/>
  <c r="CV99" s="1"/>
  <c r="CW99" s="1"/>
  <c r="CX99" s="1"/>
  <c r="CR99"/>
  <c r="CQ99"/>
  <c r="CT98"/>
  <c r="CS98"/>
  <c r="CU98" s="1"/>
  <c r="CV98" s="1"/>
  <c r="CW98" s="1"/>
  <c r="CX98" s="1"/>
  <c r="CR98"/>
  <c r="CQ98"/>
  <c r="CT97"/>
  <c r="CS97"/>
  <c r="CU97" s="1"/>
  <c r="CV97" s="1"/>
  <c r="CW97" s="1"/>
  <c r="CX97" s="1"/>
  <c r="CR97"/>
  <c r="CQ97"/>
  <c r="CT96"/>
  <c r="CS96"/>
  <c r="CU96" s="1"/>
  <c r="CV96" s="1"/>
  <c r="CW96" s="1"/>
  <c r="CX96" s="1"/>
  <c r="CR96"/>
  <c r="CQ96"/>
  <c r="CT95"/>
  <c r="CS95"/>
  <c r="CU95" s="1"/>
  <c r="CV95" s="1"/>
  <c r="CW95" s="1"/>
  <c r="CX95" s="1"/>
  <c r="CR95"/>
  <c r="CQ95"/>
  <c r="CT94"/>
  <c r="CS94"/>
  <c r="CU94" s="1"/>
  <c r="CV94" s="1"/>
  <c r="CW94" s="1"/>
  <c r="CX94" s="1"/>
  <c r="CR94"/>
  <c r="CQ94"/>
  <c r="CT93"/>
  <c r="CS93"/>
  <c r="CU93" s="1"/>
  <c r="CV93" s="1"/>
  <c r="CW93" s="1"/>
  <c r="CX93" s="1"/>
  <c r="CR93"/>
  <c r="CQ93"/>
  <c r="CT92"/>
  <c r="CS92"/>
  <c r="CU92" s="1"/>
  <c r="CV92" s="1"/>
  <c r="CW92" s="1"/>
  <c r="CX92" s="1"/>
  <c r="CR92"/>
  <c r="CQ92"/>
  <c r="CT91"/>
  <c r="CS91"/>
  <c r="CU91" s="1"/>
  <c r="CV91" s="1"/>
  <c r="CW91" s="1"/>
  <c r="CX91" s="1"/>
  <c r="CR91"/>
  <c r="CQ91"/>
  <c r="CT90"/>
  <c r="CS90"/>
  <c r="CU90" s="1"/>
  <c r="CV90" s="1"/>
  <c r="CW90" s="1"/>
  <c r="CX90" s="1"/>
  <c r="CR90"/>
  <c r="CQ90"/>
  <c r="CT89"/>
  <c r="CS89"/>
  <c r="CU89" s="1"/>
  <c r="CV89" s="1"/>
  <c r="CW89" s="1"/>
  <c r="CX89" s="1"/>
  <c r="CR89"/>
  <c r="CQ89"/>
  <c r="CT88"/>
  <c r="CS88"/>
  <c r="CU88" s="1"/>
  <c r="CV88" s="1"/>
  <c r="CW88" s="1"/>
  <c r="CX88" s="1"/>
  <c r="CR88"/>
  <c r="CQ88"/>
  <c r="CT87"/>
  <c r="CS87"/>
  <c r="CU87" s="1"/>
  <c r="CV87" s="1"/>
  <c r="CW87" s="1"/>
  <c r="CX87" s="1"/>
  <c r="CR87"/>
  <c r="CQ87"/>
  <c r="CT86"/>
  <c r="CS86"/>
  <c r="CU86" s="1"/>
  <c r="CV86" s="1"/>
  <c r="CW86" s="1"/>
  <c r="CX86" s="1"/>
  <c r="CR86"/>
  <c r="CQ86"/>
  <c r="CT85"/>
  <c r="CS85"/>
  <c r="CU85" s="1"/>
  <c r="CV85" s="1"/>
  <c r="CW85" s="1"/>
  <c r="CX85" s="1"/>
  <c r="CR85"/>
  <c r="CQ85"/>
  <c r="CT84"/>
  <c r="CS84"/>
  <c r="CU84" s="1"/>
  <c r="CV84" s="1"/>
  <c r="CW84" s="1"/>
  <c r="CX84" s="1"/>
  <c r="CR84"/>
  <c r="CQ84"/>
  <c r="CT83"/>
  <c r="CS83"/>
  <c r="CU83" s="1"/>
  <c r="CV83" s="1"/>
  <c r="CW83" s="1"/>
  <c r="CX83" s="1"/>
  <c r="CR83"/>
  <c r="CQ83"/>
  <c r="CT82"/>
  <c r="CS82"/>
  <c r="CU82" s="1"/>
  <c r="CV82" s="1"/>
  <c r="CW82" s="1"/>
  <c r="CX82" s="1"/>
  <c r="CR82"/>
  <c r="CQ82"/>
  <c r="CT81"/>
  <c r="CS81"/>
  <c r="CU81" s="1"/>
  <c r="CV81" s="1"/>
  <c r="CW81" s="1"/>
  <c r="CX81" s="1"/>
  <c r="CR81"/>
  <c r="CQ81"/>
  <c r="CT80"/>
  <c r="CS80"/>
  <c r="CU80" s="1"/>
  <c r="CV80" s="1"/>
  <c r="CW80" s="1"/>
  <c r="CX80" s="1"/>
  <c r="CR80"/>
  <c r="CQ80"/>
  <c r="CT79"/>
  <c r="CS79"/>
  <c r="CU79" s="1"/>
  <c r="CV79" s="1"/>
  <c r="CW79" s="1"/>
  <c r="CX79" s="1"/>
  <c r="CR79"/>
  <c r="CQ79"/>
  <c r="CT78"/>
  <c r="CS78"/>
  <c r="CU78" s="1"/>
  <c r="CV78" s="1"/>
  <c r="CW78" s="1"/>
  <c r="CX78" s="1"/>
  <c r="CR78"/>
  <c r="CQ78"/>
  <c r="CT77"/>
  <c r="CS77"/>
  <c r="CU77" s="1"/>
  <c r="CV77" s="1"/>
  <c r="CW77" s="1"/>
  <c r="CX77" s="1"/>
  <c r="CR77"/>
  <c r="CQ77"/>
  <c r="CT76"/>
  <c r="CS76"/>
  <c r="CU76" s="1"/>
  <c r="CV76" s="1"/>
  <c r="CW76" s="1"/>
  <c r="CX76" s="1"/>
  <c r="CR76"/>
  <c r="CQ76"/>
  <c r="CT75"/>
  <c r="CS75"/>
  <c r="CU75" s="1"/>
  <c r="CV75" s="1"/>
  <c r="CW75" s="1"/>
  <c r="CX75" s="1"/>
  <c r="CR75"/>
  <c r="CQ75"/>
  <c r="CT74"/>
  <c r="CS74"/>
  <c r="CU74" s="1"/>
  <c r="CV74" s="1"/>
  <c r="CW74" s="1"/>
  <c r="CX74" s="1"/>
  <c r="CR74"/>
  <c r="CQ74"/>
  <c r="CT73"/>
  <c r="CS73"/>
  <c r="CU73" s="1"/>
  <c r="CV73" s="1"/>
  <c r="CW73" s="1"/>
  <c r="CX73" s="1"/>
  <c r="CR73"/>
  <c r="CQ73"/>
  <c r="CT72"/>
  <c r="CS72"/>
  <c r="CU72" s="1"/>
  <c r="CV72" s="1"/>
  <c r="CW72" s="1"/>
  <c r="CX72" s="1"/>
  <c r="CR72"/>
  <c r="CQ72"/>
  <c r="CT71"/>
  <c r="CS71"/>
  <c r="CU71" s="1"/>
  <c r="CV71" s="1"/>
  <c r="CW71" s="1"/>
  <c r="CX71" s="1"/>
  <c r="CR71"/>
  <c r="CQ71"/>
  <c r="CT70"/>
  <c r="CS70"/>
  <c r="CU70" s="1"/>
  <c r="CV70" s="1"/>
  <c r="CW70" s="1"/>
  <c r="CX70" s="1"/>
  <c r="CR70"/>
  <c r="CQ70"/>
  <c r="CT69"/>
  <c r="CS69"/>
  <c r="CU69" s="1"/>
  <c r="CV69" s="1"/>
  <c r="CW69" s="1"/>
  <c r="CX69" s="1"/>
  <c r="CR69"/>
  <c r="CQ69"/>
  <c r="CT68"/>
  <c r="CS68"/>
  <c r="CU68" s="1"/>
  <c r="CV68" s="1"/>
  <c r="CW68" s="1"/>
  <c r="CX68" s="1"/>
  <c r="CR68"/>
  <c r="CQ68"/>
  <c r="CT67"/>
  <c r="CS67"/>
  <c r="CU67" s="1"/>
  <c r="CV67" s="1"/>
  <c r="CW67" s="1"/>
  <c r="CX67" s="1"/>
  <c r="CR67"/>
  <c r="CQ67"/>
  <c r="CT66"/>
  <c r="CS66"/>
  <c r="CU66" s="1"/>
  <c r="CV66" s="1"/>
  <c r="CW66" s="1"/>
  <c r="CX66" s="1"/>
  <c r="CR66"/>
  <c r="CQ66"/>
  <c r="CT65"/>
  <c r="CS65"/>
  <c r="CU65" s="1"/>
  <c r="CV65" s="1"/>
  <c r="CW65" s="1"/>
  <c r="CX65" s="1"/>
  <c r="CR65"/>
  <c r="CQ65"/>
  <c r="CT64"/>
  <c r="CS64"/>
  <c r="CU64" s="1"/>
  <c r="CV64" s="1"/>
  <c r="CW64" s="1"/>
  <c r="CX64" s="1"/>
  <c r="CR64"/>
  <c r="CQ64"/>
  <c r="CT63"/>
  <c r="CS63"/>
  <c r="CU63" s="1"/>
  <c r="CV63" s="1"/>
  <c r="CW63" s="1"/>
  <c r="CX63" s="1"/>
  <c r="CR63"/>
  <c r="CQ63"/>
  <c r="CT62"/>
  <c r="CS62"/>
  <c r="CU62" s="1"/>
  <c r="CV62" s="1"/>
  <c r="CW62" s="1"/>
  <c r="CX62" s="1"/>
  <c r="CR62"/>
  <c r="CQ62"/>
  <c r="CT61"/>
  <c r="CS61"/>
  <c r="CU61" s="1"/>
  <c r="CV61" s="1"/>
  <c r="CW61" s="1"/>
  <c r="CX61" s="1"/>
  <c r="CR61"/>
  <c r="CQ61"/>
  <c r="CT60"/>
  <c r="CS60"/>
  <c r="CU60" s="1"/>
  <c r="CV60" s="1"/>
  <c r="CW60" s="1"/>
  <c r="CX60" s="1"/>
  <c r="CR60"/>
  <c r="CQ60"/>
  <c r="CT59"/>
  <c r="CS59"/>
  <c r="CU59" s="1"/>
  <c r="CV59" s="1"/>
  <c r="CW59" s="1"/>
  <c r="CX59" s="1"/>
  <c r="CR59"/>
  <c r="CQ59"/>
  <c r="CT58"/>
  <c r="CS58"/>
  <c r="CU58" s="1"/>
  <c r="CV58" s="1"/>
  <c r="CW58" s="1"/>
  <c r="CX58" s="1"/>
  <c r="CR58"/>
  <c r="CQ58"/>
  <c r="CT57"/>
  <c r="CS57"/>
  <c r="CU57" s="1"/>
  <c r="CV57" s="1"/>
  <c r="CW57" s="1"/>
  <c r="CX57" s="1"/>
  <c r="CR57"/>
  <c r="CQ57"/>
  <c r="CT56"/>
  <c r="CS56"/>
  <c r="CU56" s="1"/>
  <c r="CV56" s="1"/>
  <c r="CW56" s="1"/>
  <c r="CX56" s="1"/>
  <c r="CR56"/>
  <c r="CQ56"/>
  <c r="CT55"/>
  <c r="CS55"/>
  <c r="CU55" s="1"/>
  <c r="CV55" s="1"/>
  <c r="CW55" s="1"/>
  <c r="CX55" s="1"/>
  <c r="CR55"/>
  <c r="CQ55"/>
  <c r="CT54"/>
  <c r="CS54"/>
  <c r="CU54" s="1"/>
  <c r="CV54" s="1"/>
  <c r="CW54" s="1"/>
  <c r="CX54" s="1"/>
  <c r="CR54"/>
  <c r="CQ54"/>
  <c r="CT53"/>
  <c r="CS53"/>
  <c r="CU53" s="1"/>
  <c r="CV53" s="1"/>
  <c r="CW53" s="1"/>
  <c r="CX53" s="1"/>
  <c r="CR53"/>
  <c r="CQ53"/>
  <c r="CT52"/>
  <c r="CS52"/>
  <c r="CU52" s="1"/>
  <c r="CV52" s="1"/>
  <c r="CW52" s="1"/>
  <c r="CX52" s="1"/>
  <c r="CR52"/>
  <c r="CQ52"/>
  <c r="CT51"/>
  <c r="CS51"/>
  <c r="CU51" s="1"/>
  <c r="CV51" s="1"/>
  <c r="CW51" s="1"/>
  <c r="CX51" s="1"/>
  <c r="CR51"/>
  <c r="CQ51"/>
  <c r="CT50"/>
  <c r="CS50"/>
  <c r="CU50" s="1"/>
  <c r="CV50" s="1"/>
  <c r="CW50" s="1"/>
  <c r="CX50" s="1"/>
  <c r="CR50"/>
  <c r="CQ50"/>
  <c r="CT49"/>
  <c r="CS49"/>
  <c r="CU49" s="1"/>
  <c r="CV49" s="1"/>
  <c r="CW49" s="1"/>
  <c r="CX49" s="1"/>
  <c r="CR49"/>
  <c r="CQ49"/>
  <c r="CT48"/>
  <c r="CS48"/>
  <c r="CU48" s="1"/>
  <c r="CV48" s="1"/>
  <c r="CW48" s="1"/>
  <c r="CX48" s="1"/>
  <c r="CR48"/>
  <c r="CQ48"/>
  <c r="CT47"/>
  <c r="CS47"/>
  <c r="CU47" s="1"/>
  <c r="CV47" s="1"/>
  <c r="CW47" s="1"/>
  <c r="CX47" s="1"/>
  <c r="CR47"/>
  <c r="CQ47"/>
  <c r="CT46"/>
  <c r="CS46"/>
  <c r="CU46" s="1"/>
  <c r="CV46" s="1"/>
  <c r="CW46" s="1"/>
  <c r="CX46" s="1"/>
  <c r="CR46"/>
  <c r="CQ46"/>
  <c r="CT45"/>
  <c r="CS45"/>
  <c r="CU45" s="1"/>
  <c r="CV45" s="1"/>
  <c r="CW45" s="1"/>
  <c r="CX45" s="1"/>
  <c r="CR45"/>
  <c r="CQ45"/>
  <c r="CT44"/>
  <c r="CS44"/>
  <c r="CU44" s="1"/>
  <c r="CV44" s="1"/>
  <c r="CW44" s="1"/>
  <c r="CX44" s="1"/>
  <c r="CR44"/>
  <c r="CQ44"/>
  <c r="CT43"/>
  <c r="CS43"/>
  <c r="CU43" s="1"/>
  <c r="CV43" s="1"/>
  <c r="CW43" s="1"/>
  <c r="CX43" s="1"/>
  <c r="CR43"/>
  <c r="CQ43"/>
  <c r="CT42"/>
  <c r="CS42"/>
  <c r="CU42" s="1"/>
  <c r="CV42" s="1"/>
  <c r="CW42" s="1"/>
  <c r="CX42" s="1"/>
  <c r="CR42"/>
  <c r="CQ42"/>
  <c r="CT41"/>
  <c r="CS41"/>
  <c r="CU41" s="1"/>
  <c r="CV41" s="1"/>
  <c r="CW41" s="1"/>
  <c r="CX41" s="1"/>
  <c r="CR41"/>
  <c r="CQ41"/>
  <c r="CT40"/>
  <c r="CS40"/>
  <c r="CU40" s="1"/>
  <c r="CV40" s="1"/>
  <c r="CW40" s="1"/>
  <c r="CX40" s="1"/>
  <c r="CR40"/>
  <c r="CQ40"/>
  <c r="CT39"/>
  <c r="CS39"/>
  <c r="CU39" s="1"/>
  <c r="CV39" s="1"/>
  <c r="CW39" s="1"/>
  <c r="CX39" s="1"/>
  <c r="CR39"/>
  <c r="CQ39"/>
  <c r="CT38"/>
  <c r="CS38"/>
  <c r="CU38" s="1"/>
  <c r="CV38" s="1"/>
  <c r="CW38" s="1"/>
  <c r="CX38" s="1"/>
  <c r="CR38"/>
  <c r="CQ38"/>
  <c r="CT37"/>
  <c r="CS37"/>
  <c r="CU37" s="1"/>
  <c r="CV37" s="1"/>
  <c r="CW37" s="1"/>
  <c r="CX37" s="1"/>
  <c r="CR37"/>
  <c r="CQ37"/>
  <c r="CT36"/>
  <c r="CS36"/>
  <c r="CU36" s="1"/>
  <c r="CV36" s="1"/>
  <c r="CW36" s="1"/>
  <c r="CX36" s="1"/>
  <c r="CR36"/>
  <c r="CQ36"/>
  <c r="CT35"/>
  <c r="CS35"/>
  <c r="CU35" s="1"/>
  <c r="CV35" s="1"/>
  <c r="CW35" s="1"/>
  <c r="CX35" s="1"/>
  <c r="CR35"/>
  <c r="CQ35"/>
  <c r="CT34"/>
  <c r="CS34"/>
  <c r="CU34" s="1"/>
  <c r="CV34" s="1"/>
  <c r="CR34"/>
  <c r="CQ34"/>
  <c r="CT33"/>
  <c r="CS33"/>
  <c r="CU33" s="1"/>
  <c r="CV33" s="1"/>
  <c r="CW33" s="1"/>
  <c r="CX33" s="1"/>
  <c r="CR33"/>
  <c r="CQ33"/>
  <c r="CT32"/>
  <c r="CS32"/>
  <c r="CR32"/>
  <c r="CQ32"/>
  <c r="CT31"/>
  <c r="CS31"/>
  <c r="CR31"/>
  <c r="CQ31"/>
  <c r="CT30"/>
  <c r="CS30"/>
  <c r="CR30"/>
  <c r="CQ30"/>
  <c r="CT29"/>
  <c r="CS29"/>
  <c r="CR29"/>
  <c r="CQ29"/>
  <c r="CT28"/>
  <c r="CS28"/>
  <c r="CR28"/>
  <c r="CQ28"/>
  <c r="CT27"/>
  <c r="CS27"/>
  <c r="CR27"/>
  <c r="CQ27"/>
  <c r="CT26"/>
  <c r="CS26"/>
  <c r="CR26"/>
  <c r="CQ26"/>
  <c r="CT25"/>
  <c r="CS25"/>
  <c r="CR25"/>
  <c r="CQ25"/>
  <c r="CT24"/>
  <c r="CS24"/>
  <c r="CR24"/>
  <c r="CQ24"/>
  <c r="CT23"/>
  <c r="CS23"/>
  <c r="CR23"/>
  <c r="CQ23"/>
  <c r="CT22"/>
  <c r="CS22"/>
  <c r="CR22"/>
  <c r="CQ22"/>
  <c r="CT21"/>
  <c r="CS21"/>
  <c r="CR21"/>
  <c r="CQ21"/>
  <c r="CT20"/>
  <c r="CS20"/>
  <c r="CR20"/>
  <c r="CQ20"/>
  <c r="CT19"/>
  <c r="CS19"/>
  <c r="CR19"/>
  <c r="CQ19"/>
  <c r="CT18"/>
  <c r="CS18"/>
  <c r="CR18"/>
  <c r="CQ18"/>
  <c r="CT17"/>
  <c r="CS17"/>
  <c r="CR17"/>
  <c r="CQ17"/>
  <c r="CT16"/>
  <c r="CS16"/>
  <c r="CR16"/>
  <c r="CQ16"/>
  <c r="CT15"/>
  <c r="CS15"/>
  <c r="CR15"/>
  <c r="CQ15"/>
  <c r="CT14"/>
  <c r="CS14"/>
  <c r="CR14"/>
  <c r="CQ14"/>
  <c r="CT13"/>
  <c r="CS13"/>
  <c r="CR13"/>
  <c r="CQ13"/>
  <c r="CT12"/>
  <c r="CS12"/>
  <c r="CR12"/>
  <c r="CQ12"/>
  <c r="CT11"/>
  <c r="CS11"/>
  <c r="CR11"/>
  <c r="CQ11"/>
  <c r="CT10"/>
  <c r="CS10"/>
  <c r="CR10"/>
  <c r="CQ10"/>
  <c r="CT9"/>
  <c r="CS9"/>
  <c r="CR9"/>
  <c r="CQ9"/>
  <c r="CT8"/>
  <c r="CS8"/>
  <c r="CR8"/>
  <c r="CQ8"/>
  <c r="CT7"/>
  <c r="CS7"/>
  <c r="CR7"/>
  <c r="CQ7"/>
  <c r="CT6"/>
  <c r="CS6"/>
  <c r="CR6"/>
  <c r="CQ6"/>
  <c r="CT5"/>
  <c r="CS5"/>
  <c r="CR5"/>
  <c r="CQ5"/>
  <c r="CT4"/>
  <c r="CS4"/>
  <c r="CR4"/>
  <c r="CQ4"/>
  <c r="CT3"/>
  <c r="CS3"/>
  <c r="CQ3"/>
  <c r="CL89"/>
  <c r="CL40"/>
  <c r="CL39"/>
  <c r="CL43"/>
  <c r="CL234"/>
  <c r="CL213"/>
  <c r="CL282"/>
  <c r="CL264"/>
  <c r="CL71"/>
  <c r="CL179"/>
  <c r="CL248"/>
  <c r="CL172"/>
  <c r="CL37"/>
  <c r="CL34"/>
  <c r="CL178"/>
  <c r="CS310" l="1"/>
  <c r="CP202"/>
  <c r="CP116"/>
  <c r="CP254"/>
  <c r="CP175"/>
  <c r="CP39"/>
  <c r="CP293"/>
  <c r="CP301"/>
  <c r="CP70"/>
  <c r="CP331"/>
  <c r="CP40"/>
  <c r="CP73"/>
  <c r="CP200"/>
  <c r="CP98"/>
  <c r="CP330"/>
  <c r="CP167"/>
  <c r="CV164"/>
  <c r="CW164" s="1"/>
  <c r="CX164" s="1"/>
  <c r="CU3"/>
  <c r="CU310" s="1"/>
  <c r="CW34"/>
  <c r="CL302"/>
  <c r="CL308"/>
  <c r="CL221"/>
  <c r="CL166"/>
  <c r="CL171"/>
  <c r="CL116"/>
  <c r="CL115"/>
  <c r="CL204"/>
  <c r="CL331"/>
  <c r="CL143"/>
  <c r="CL291"/>
  <c r="CL167"/>
  <c r="CL154"/>
  <c r="CL175"/>
  <c r="CL239"/>
  <c r="CL268"/>
  <c r="CL47"/>
  <c r="CL46"/>
  <c r="CL151"/>
  <c r="CL330"/>
  <c r="CL212"/>
  <c r="CL265"/>
  <c r="CL128"/>
  <c r="CL298"/>
  <c r="CL246"/>
  <c r="CL244"/>
  <c r="CL228"/>
  <c r="CL195"/>
  <c r="CL79"/>
  <c r="CL157"/>
  <c r="CL56"/>
  <c r="CL98"/>
  <c r="CL70"/>
  <c r="CL169"/>
  <c r="CL256"/>
  <c r="CL41"/>
  <c r="CL206"/>
  <c r="CL190"/>
  <c r="CL241"/>
  <c r="CL123"/>
  <c r="CL240"/>
  <c r="CL191"/>
  <c r="CL243"/>
  <c r="CL322"/>
  <c r="CL301"/>
  <c r="CL332"/>
  <c r="CL50"/>
  <c r="CL222"/>
  <c r="CL295"/>
  <c r="CL315"/>
  <c r="CL65"/>
  <c r="CL263"/>
  <c r="CL57"/>
  <c r="CL203"/>
  <c r="CL257"/>
  <c r="CL303"/>
  <c r="CL251"/>
  <c r="CL122"/>
  <c r="CL297"/>
  <c r="CL285"/>
  <c r="CL134"/>
  <c r="CL226"/>
  <c r="CL54"/>
  <c r="CL53"/>
  <c r="CL61"/>
  <c r="CL202"/>
  <c r="CL174"/>
  <c r="CL200"/>
  <c r="CL103"/>
  <c r="CL319"/>
  <c r="CL270"/>
  <c r="CL267"/>
  <c r="CL193"/>
  <c r="CL194"/>
  <c r="CL177"/>
  <c r="CL209"/>
  <c r="CL250"/>
  <c r="CL262"/>
  <c r="CL312"/>
  <c r="CL164"/>
  <c r="CL109"/>
  <c r="CL211"/>
  <c r="CL254"/>
  <c r="CL73"/>
  <c r="CL293"/>
  <c r="CL309"/>
  <c r="CL45"/>
  <c r="CL83"/>
  <c r="CL249"/>
  <c r="CL217"/>
  <c r="CL90"/>
  <c r="CL197"/>
  <c r="CL104"/>
  <c r="CL266"/>
  <c r="CL111"/>
  <c r="CL247"/>
  <c r="CL113"/>
  <c r="CL55"/>
  <c r="CL320"/>
  <c r="CL64"/>
  <c r="CL219"/>
  <c r="CL188"/>
  <c r="CL287"/>
  <c r="CL33"/>
  <c r="CL307"/>
  <c r="CL35"/>
  <c r="CL77"/>
  <c r="CL80"/>
  <c r="CL68"/>
  <c r="CL101"/>
  <c r="CL106"/>
  <c r="CL229"/>
  <c r="CL173"/>
  <c r="CL130"/>
  <c r="CL102"/>
  <c r="CL44"/>
  <c r="CL63"/>
  <c r="CL176"/>
  <c r="CL82"/>
  <c r="CL235"/>
  <c r="CL230"/>
  <c r="CL138"/>
  <c r="CL316"/>
  <c r="CL215"/>
  <c r="CL333"/>
  <c r="CL105"/>
  <c r="CL255"/>
  <c r="CL198"/>
  <c r="CL59"/>
  <c r="CL84"/>
  <c r="CL72"/>
  <c r="CL76"/>
  <c r="CL132"/>
  <c r="CL124"/>
  <c r="CL273"/>
  <c r="CL107"/>
  <c r="CL119"/>
  <c r="CL292"/>
  <c r="CL149"/>
  <c r="CL165"/>
  <c r="CL69"/>
  <c r="CL81"/>
  <c r="CL126"/>
  <c r="CL129"/>
  <c r="CL114"/>
  <c r="CL127"/>
  <c r="CL97"/>
  <c r="CL144"/>
  <c r="CL276"/>
  <c r="CL112"/>
  <c r="CL208"/>
  <c r="CL196"/>
  <c r="CL296"/>
  <c r="CL260"/>
  <c r="CL78"/>
  <c r="CL185"/>
  <c r="CL28"/>
  <c r="CL3"/>
  <c r="CL334"/>
  <c r="CL26"/>
  <c r="CL12"/>
  <c r="CL21"/>
  <c r="CL31"/>
  <c r="CL6"/>
  <c r="CL14"/>
  <c r="CL30"/>
  <c r="CL18"/>
  <c r="CL22"/>
  <c r="CL15"/>
  <c r="CL17"/>
  <c r="CL16"/>
  <c r="CL20"/>
  <c r="CL23"/>
  <c r="CL29"/>
  <c r="CL310"/>
  <c r="CL10"/>
  <c r="CL145"/>
  <c r="CL9"/>
  <c r="CL8"/>
  <c r="CL11"/>
  <c r="CL32"/>
  <c r="CL13"/>
  <c r="CL7"/>
  <c r="CL25"/>
  <c r="CL27"/>
  <c r="CL155"/>
  <c r="CL133"/>
  <c r="CL140"/>
  <c r="CL275"/>
  <c r="CL108"/>
  <c r="CL60"/>
  <c r="CL88"/>
  <c r="CL125"/>
  <c r="CL216"/>
  <c r="CL306"/>
  <c r="CL207"/>
  <c r="CL139"/>
  <c r="CL189"/>
  <c r="CL153"/>
  <c r="CL242"/>
  <c r="CL237"/>
  <c r="CL62"/>
  <c r="CL93"/>
  <c r="CL48"/>
  <c r="CL137"/>
  <c r="CL317"/>
  <c r="CL36"/>
  <c r="CL214"/>
  <c r="CL199"/>
  <c r="CL205"/>
  <c r="CL294"/>
  <c r="CL163"/>
  <c r="CL170"/>
  <c r="CL91"/>
  <c r="CL95"/>
  <c r="CL272"/>
  <c r="CL313"/>
  <c r="CL142"/>
  <c r="CL271"/>
  <c r="CL329"/>
  <c r="CL231"/>
  <c r="CL118"/>
  <c r="CL253"/>
  <c r="CL286"/>
  <c r="CL146"/>
  <c r="CL321"/>
  <c r="CL120"/>
  <c r="CL259"/>
  <c r="CL147"/>
  <c r="CL284"/>
  <c r="CL4"/>
  <c r="CL152"/>
  <c r="CL278"/>
  <c r="CL277"/>
  <c r="CL210"/>
  <c r="CL94"/>
  <c r="CL311"/>
  <c r="CL51"/>
  <c r="CL5"/>
  <c r="CL180"/>
  <c r="CL136"/>
  <c r="CL135"/>
  <c r="CL218"/>
  <c r="CL186"/>
  <c r="CL121"/>
  <c r="CL117"/>
  <c r="CL184"/>
  <c r="CL150"/>
  <c r="CL305"/>
  <c r="CL304"/>
  <c r="CL158"/>
  <c r="CL324"/>
  <c r="CL75"/>
  <c r="CL99"/>
  <c r="CL261"/>
  <c r="CL238"/>
  <c r="CL279"/>
  <c r="CL66"/>
  <c r="CL87"/>
  <c r="CL49"/>
  <c r="CL288"/>
  <c r="CL283"/>
  <c r="CL220"/>
  <c r="CL19"/>
  <c r="CL141"/>
  <c r="CL74"/>
  <c r="CL323"/>
  <c r="CL318"/>
  <c r="CL223"/>
  <c r="CL325"/>
  <c r="CL96"/>
  <c r="CL314"/>
  <c r="CL42"/>
  <c r="CL110"/>
  <c r="CL100"/>
  <c r="CL201"/>
  <c r="CL289"/>
  <c r="CL245"/>
  <c r="CL328"/>
  <c r="CL225"/>
  <c r="CL162"/>
  <c r="CL299"/>
  <c r="CL327"/>
  <c r="CL38"/>
  <c r="CL156"/>
  <c r="CL182"/>
  <c r="CL187"/>
  <c r="CL233"/>
  <c r="CL160"/>
  <c r="CL148"/>
  <c r="CL274"/>
  <c r="CL58"/>
  <c r="CL290"/>
  <c r="CL52"/>
  <c r="CL280"/>
  <c r="CL236"/>
  <c r="CL131"/>
  <c r="CL86"/>
  <c r="CL192"/>
  <c r="CL24"/>
  <c r="CL161"/>
  <c r="CL252"/>
  <c r="CL281"/>
  <c r="CL183"/>
  <c r="CL181"/>
  <c r="CL168"/>
  <c r="CL224"/>
  <c r="CL232"/>
  <c r="CL269"/>
  <c r="CL227"/>
  <c r="CL67"/>
  <c r="CL159"/>
  <c r="CL92"/>
  <c r="CR3"/>
  <c r="CL258"/>
  <c r="CI302"/>
  <c r="CI221"/>
  <c r="CI171"/>
  <c r="CI115"/>
  <c r="CI204"/>
  <c r="CI143"/>
  <c r="CI291"/>
  <c r="CI154"/>
  <c r="CI239"/>
  <c r="CI268"/>
  <c r="CI47"/>
  <c r="CI46"/>
  <c r="CI151"/>
  <c r="CI212"/>
  <c r="CI265"/>
  <c r="CI128"/>
  <c r="CI298"/>
  <c r="CI246"/>
  <c r="CI244"/>
  <c r="CI228"/>
  <c r="CI195"/>
  <c r="CI79"/>
  <c r="CI157"/>
  <c r="CI56"/>
  <c r="CI169"/>
  <c r="CI256"/>
  <c r="CI190"/>
  <c r="CI241"/>
  <c r="CI240"/>
  <c r="CI243"/>
  <c r="CI322"/>
  <c r="CI222"/>
  <c r="CI295"/>
  <c r="CI315"/>
  <c r="CI65"/>
  <c r="CI263"/>
  <c r="CI57"/>
  <c r="CI203"/>
  <c r="CI257"/>
  <c r="CI251"/>
  <c r="CI122"/>
  <c r="CI297"/>
  <c r="CI285"/>
  <c r="CI226"/>
  <c r="CI54"/>
  <c r="CI53"/>
  <c r="CI61"/>
  <c r="CI174"/>
  <c r="CI103"/>
  <c r="CI319"/>
  <c r="CI270"/>
  <c r="CI267"/>
  <c r="CI193"/>
  <c r="CI177"/>
  <c r="CI209"/>
  <c r="CI262"/>
  <c r="CI312"/>
  <c r="CI164"/>
  <c r="CI109"/>
  <c r="CI211"/>
  <c r="CI309"/>
  <c r="CI45"/>
  <c r="CI83"/>
  <c r="CI249"/>
  <c r="CI217"/>
  <c r="CI90"/>
  <c r="CI197"/>
  <c r="CI266"/>
  <c r="CI111"/>
  <c r="CI247"/>
  <c r="CI113"/>
  <c r="CI55"/>
  <c r="CI320"/>
  <c r="CI64"/>
  <c r="CI219"/>
  <c r="CI188"/>
  <c r="CI287"/>
  <c r="CI33"/>
  <c r="CI307"/>
  <c r="CI35"/>
  <c r="CI77"/>
  <c r="CI80"/>
  <c r="CI68"/>
  <c r="CI101"/>
  <c r="CI106"/>
  <c r="CI229"/>
  <c r="CI173"/>
  <c r="CI130"/>
  <c r="CI102"/>
  <c r="CI44"/>
  <c r="CI63"/>
  <c r="CI176"/>
  <c r="CI82"/>
  <c r="CI235"/>
  <c r="CI230"/>
  <c r="CI138"/>
  <c r="CI316"/>
  <c r="CI215"/>
  <c r="CI333"/>
  <c r="CI105"/>
  <c r="CI255"/>
  <c r="CI198"/>
  <c r="CI59"/>
  <c r="CI84"/>
  <c r="CI72"/>
  <c r="CI76"/>
  <c r="CI132"/>
  <c r="CI124"/>
  <c r="CI273"/>
  <c r="CI107"/>
  <c r="CI119"/>
  <c r="CI292"/>
  <c r="CI149"/>
  <c r="CI165"/>
  <c r="CI69"/>
  <c r="CI81"/>
  <c r="CI126"/>
  <c r="CI129"/>
  <c r="CI114"/>
  <c r="CI127"/>
  <c r="CI97"/>
  <c r="CI144"/>
  <c r="CI276"/>
  <c r="CI112"/>
  <c r="CI208"/>
  <c r="CI196"/>
  <c r="CI296"/>
  <c r="CI260"/>
  <c r="CI185"/>
  <c r="CI28"/>
  <c r="CI3"/>
  <c r="CI12"/>
  <c r="CI21"/>
  <c r="CI31"/>
  <c r="CI6"/>
  <c r="CI14"/>
  <c r="CI30"/>
  <c r="CI18"/>
  <c r="CI22"/>
  <c r="CI15"/>
  <c r="CI17"/>
  <c r="CI16"/>
  <c r="CI20"/>
  <c r="CI23"/>
  <c r="CI29"/>
  <c r="CI310"/>
  <c r="CI9"/>
  <c r="CI11"/>
  <c r="CI32"/>
  <c r="CI13"/>
  <c r="CI7"/>
  <c r="CI25"/>
  <c r="CI27"/>
  <c r="CI133"/>
  <c r="CI140"/>
  <c r="CI43"/>
  <c r="CI275"/>
  <c r="CI108"/>
  <c r="CI60"/>
  <c r="CI88"/>
  <c r="CI125"/>
  <c r="CI216"/>
  <c r="CI306"/>
  <c r="CI207"/>
  <c r="CI139"/>
  <c r="CI189"/>
  <c r="CI153"/>
  <c r="CI242"/>
  <c r="CI237"/>
  <c r="CI62"/>
  <c r="CI93"/>
  <c r="CI48"/>
  <c r="CI137"/>
  <c r="CI317"/>
  <c r="CI36"/>
  <c r="CI214"/>
  <c r="CI199"/>
  <c r="CI205"/>
  <c r="CI294"/>
  <c r="CI163"/>
  <c r="CI170"/>
  <c r="CI91"/>
  <c r="CI95"/>
  <c r="CI272"/>
  <c r="CI313"/>
  <c r="CI142"/>
  <c r="CI234"/>
  <c r="CI213"/>
  <c r="CI282"/>
  <c r="CI264"/>
  <c r="CI71"/>
  <c r="CI179"/>
  <c r="CI248"/>
  <c r="CI172"/>
  <c r="CI271"/>
  <c r="CI329"/>
  <c r="CI231"/>
  <c r="CI118"/>
  <c r="CI253"/>
  <c r="CI286"/>
  <c r="CI146"/>
  <c r="CI37"/>
  <c r="CI34"/>
  <c r="CI178"/>
  <c r="CI321"/>
  <c r="CI120"/>
  <c r="CI259"/>
  <c r="CI147"/>
  <c r="CI284"/>
  <c r="CI4"/>
  <c r="CI152"/>
  <c r="CI278"/>
  <c r="CI277"/>
  <c r="CI210"/>
  <c r="CI94"/>
  <c r="CI311"/>
  <c r="CI51"/>
  <c r="CI5"/>
  <c r="CI180"/>
  <c r="CI136"/>
  <c r="CI135"/>
  <c r="CI218"/>
  <c r="CI186"/>
  <c r="CI121"/>
  <c r="CI117"/>
  <c r="CI184"/>
  <c r="CI150"/>
  <c r="CI305"/>
  <c r="CI304"/>
  <c r="CI158"/>
  <c r="CI324"/>
  <c r="CI99"/>
  <c r="CI261"/>
  <c r="CI238"/>
  <c r="CI279"/>
  <c r="CI66"/>
  <c r="CI87"/>
  <c r="CI49"/>
  <c r="CI288"/>
  <c r="CI283"/>
  <c r="CI220"/>
  <c r="CI19"/>
  <c r="CI141"/>
  <c r="CI74"/>
  <c r="CI323"/>
  <c r="CI318"/>
  <c r="CI223"/>
  <c r="CI325"/>
  <c r="CI96"/>
  <c r="CI314"/>
  <c r="CI42"/>
  <c r="CI110"/>
  <c r="CI100"/>
  <c r="CI201"/>
  <c r="CI289"/>
  <c r="CI245"/>
  <c r="CI225"/>
  <c r="CI162"/>
  <c r="CI38"/>
  <c r="CI156"/>
  <c r="CI182"/>
  <c r="CI187"/>
  <c r="CI233"/>
  <c r="CI148"/>
  <c r="CI274"/>
  <c r="CI58"/>
  <c r="CI290"/>
  <c r="CI52"/>
  <c r="CI280"/>
  <c r="CI236"/>
  <c r="CI131"/>
  <c r="CI86"/>
  <c r="CI192"/>
  <c r="CI24"/>
  <c r="CI161"/>
  <c r="CI252"/>
  <c r="CI281"/>
  <c r="CI183"/>
  <c r="CI181"/>
  <c r="CI168"/>
  <c r="CI224"/>
  <c r="CI232"/>
  <c r="CI269"/>
  <c r="CI227"/>
  <c r="CI67"/>
  <c r="CI159"/>
  <c r="CI92"/>
  <c r="CI258"/>
  <c r="CI78"/>
  <c r="CV3" l="1"/>
  <c r="CW3" s="1"/>
  <c r="CW310" s="1"/>
  <c r="CX3"/>
  <c r="CX34"/>
  <c r="BK75"/>
  <c r="BM75" s="1"/>
  <c r="BZ171"/>
  <c r="BZ115"/>
  <c r="BZ204"/>
  <c r="BZ143"/>
  <c r="BZ291"/>
  <c r="BZ154"/>
  <c r="BZ239"/>
  <c r="BZ268"/>
  <c r="BZ47"/>
  <c r="BZ46"/>
  <c r="BZ151"/>
  <c r="BZ212"/>
  <c r="BZ265"/>
  <c r="BZ128"/>
  <c r="BZ298"/>
  <c r="BZ246"/>
  <c r="BZ244"/>
  <c r="BZ228"/>
  <c r="BZ195"/>
  <c r="BZ79"/>
  <c r="BZ157"/>
  <c r="BZ56"/>
  <c r="BZ169"/>
  <c r="BZ256"/>
  <c r="BZ190"/>
  <c r="BZ241"/>
  <c r="BZ123"/>
  <c r="BZ240"/>
  <c r="BZ243"/>
  <c r="BZ322"/>
  <c r="BZ222"/>
  <c r="BZ295"/>
  <c r="BZ315"/>
  <c r="BZ65"/>
  <c r="BZ263"/>
  <c r="BZ57"/>
  <c r="BZ203"/>
  <c r="BZ257"/>
  <c r="BZ251"/>
  <c r="BZ122"/>
  <c r="BZ297"/>
  <c r="BZ285"/>
  <c r="BZ134"/>
  <c r="BZ226"/>
  <c r="BZ54"/>
  <c r="BZ53"/>
  <c r="BZ61"/>
  <c r="BZ202"/>
  <c r="BZ174"/>
  <c r="BZ200"/>
  <c r="BZ103"/>
  <c r="BZ319"/>
  <c r="BZ270"/>
  <c r="BZ267"/>
  <c r="BZ193"/>
  <c r="BZ177"/>
  <c r="BZ209"/>
  <c r="BZ262"/>
  <c r="BZ312"/>
  <c r="BZ164"/>
  <c r="BZ109"/>
  <c r="BZ211"/>
  <c r="BZ309"/>
  <c r="BZ45"/>
  <c r="BZ83"/>
  <c r="BZ249"/>
  <c r="BZ217"/>
  <c r="BZ90"/>
  <c r="BZ197"/>
  <c r="BZ266"/>
  <c r="BZ111"/>
  <c r="BZ247"/>
  <c r="BZ113"/>
  <c r="BZ55"/>
  <c r="BZ320"/>
  <c r="BZ64"/>
  <c r="BZ219"/>
  <c r="BZ188"/>
  <c r="BZ287"/>
  <c r="BZ33"/>
  <c r="BZ307"/>
  <c r="BZ35"/>
  <c r="BZ77"/>
  <c r="BZ80"/>
  <c r="BZ68"/>
  <c r="BZ101"/>
  <c r="BZ106"/>
  <c r="BZ229"/>
  <c r="BZ173"/>
  <c r="BZ130"/>
  <c r="BZ102"/>
  <c r="BZ44"/>
  <c r="BZ63"/>
  <c r="BZ176"/>
  <c r="BZ82"/>
  <c r="BZ235"/>
  <c r="BZ230"/>
  <c r="BZ138"/>
  <c r="BZ316"/>
  <c r="BZ215"/>
  <c r="BZ333"/>
  <c r="BZ105"/>
  <c r="BZ255"/>
  <c r="BZ198"/>
  <c r="BZ59"/>
  <c r="BZ84"/>
  <c r="BZ72"/>
  <c r="BZ76"/>
  <c r="BZ132"/>
  <c r="BZ124"/>
  <c r="BZ273"/>
  <c r="BZ107"/>
  <c r="BZ119"/>
  <c r="BZ292"/>
  <c r="BZ149"/>
  <c r="BZ165"/>
  <c r="BZ69"/>
  <c r="BZ81"/>
  <c r="BZ126"/>
  <c r="BZ129"/>
  <c r="BZ114"/>
  <c r="BZ127"/>
  <c r="BZ97"/>
  <c r="BZ144"/>
  <c r="BZ276"/>
  <c r="BZ112"/>
  <c r="BZ208"/>
  <c r="BZ196"/>
  <c r="BZ296"/>
  <c r="BZ260"/>
  <c r="BZ78"/>
  <c r="BZ28"/>
  <c r="BZ3"/>
  <c r="BZ334"/>
  <c r="BZ26"/>
  <c r="BZ12"/>
  <c r="BZ21"/>
  <c r="BZ31"/>
  <c r="BZ6"/>
  <c r="BZ14"/>
  <c r="BZ30"/>
  <c r="BZ18"/>
  <c r="BZ22"/>
  <c r="BZ15"/>
  <c r="BZ17"/>
  <c r="BZ16"/>
  <c r="BZ20"/>
  <c r="BZ23"/>
  <c r="BZ29"/>
  <c r="BZ310"/>
  <c r="BZ9"/>
  <c r="BZ11"/>
  <c r="BZ32"/>
  <c r="BZ13"/>
  <c r="BZ7"/>
  <c r="BZ25"/>
  <c r="BZ27"/>
  <c r="BZ133"/>
  <c r="BZ140"/>
  <c r="BZ43"/>
  <c r="BZ275"/>
  <c r="BZ108"/>
  <c r="BZ60"/>
  <c r="BZ88"/>
  <c r="BZ125"/>
  <c r="BZ216"/>
  <c r="BZ306"/>
  <c r="BZ207"/>
  <c r="BZ139"/>
  <c r="BZ189"/>
  <c r="BZ153"/>
  <c r="BZ242"/>
  <c r="BZ237"/>
  <c r="BZ62"/>
  <c r="BZ93"/>
  <c r="BZ48"/>
  <c r="BZ137"/>
  <c r="BZ317"/>
  <c r="BZ36"/>
  <c r="BZ214"/>
  <c r="BZ199"/>
  <c r="BZ205"/>
  <c r="BZ294"/>
  <c r="BZ163"/>
  <c r="BZ170"/>
  <c r="BZ91"/>
  <c r="BZ95"/>
  <c r="BZ272"/>
  <c r="BZ313"/>
  <c r="BZ142"/>
  <c r="BZ234"/>
  <c r="BZ213"/>
  <c r="BZ282"/>
  <c r="BZ264"/>
  <c r="BZ71"/>
  <c r="BZ179"/>
  <c r="BZ248"/>
  <c r="BZ172"/>
  <c r="BZ271"/>
  <c r="BZ329"/>
  <c r="BZ231"/>
  <c r="BZ118"/>
  <c r="BZ253"/>
  <c r="BZ286"/>
  <c r="BZ146"/>
  <c r="BZ37"/>
  <c r="BZ34"/>
  <c r="BZ178"/>
  <c r="BZ321"/>
  <c r="BZ120"/>
  <c r="BZ259"/>
  <c r="BZ147"/>
  <c r="BZ284"/>
  <c r="BZ4"/>
  <c r="BZ152"/>
  <c r="BZ278"/>
  <c r="BZ277"/>
  <c r="BZ210"/>
  <c r="BZ94"/>
  <c r="BZ311"/>
  <c r="BZ51"/>
  <c r="BZ5"/>
  <c r="BZ180"/>
  <c r="BZ136"/>
  <c r="BZ135"/>
  <c r="BZ218"/>
  <c r="BZ186"/>
  <c r="BZ121"/>
  <c r="BZ117"/>
  <c r="BZ184"/>
  <c r="BZ150"/>
  <c r="BZ305"/>
  <c r="BZ304"/>
  <c r="BZ158"/>
  <c r="BZ324"/>
  <c r="BZ75"/>
  <c r="BZ99"/>
  <c r="BZ261"/>
  <c r="BZ238"/>
  <c r="BZ279"/>
  <c r="BZ66"/>
  <c r="BZ87"/>
  <c r="BZ49"/>
  <c r="BZ288"/>
  <c r="BZ283"/>
  <c r="BZ220"/>
  <c r="BZ19"/>
  <c r="BZ141"/>
  <c r="BZ74"/>
  <c r="BZ323"/>
  <c r="BZ318"/>
  <c r="BZ223"/>
  <c r="BZ325"/>
  <c r="BZ96"/>
  <c r="BZ314"/>
  <c r="BZ42"/>
  <c r="BZ110"/>
  <c r="BZ100"/>
  <c r="BZ201"/>
  <c r="BZ289"/>
  <c r="BZ245"/>
  <c r="BZ225"/>
  <c r="BZ162"/>
  <c r="BZ38"/>
  <c r="BZ156"/>
  <c r="BZ182"/>
  <c r="BZ187"/>
  <c r="BZ233"/>
  <c r="BZ148"/>
  <c r="BZ274"/>
  <c r="BZ58"/>
  <c r="BZ290"/>
  <c r="BZ52"/>
  <c r="BZ280"/>
  <c r="BZ236"/>
  <c r="BZ131"/>
  <c r="BZ86"/>
  <c r="BZ192"/>
  <c r="BZ24"/>
  <c r="BZ161"/>
  <c r="BZ252"/>
  <c r="BZ281"/>
  <c r="BZ183"/>
  <c r="BZ181"/>
  <c r="BZ168"/>
  <c r="BZ224"/>
  <c r="BZ232"/>
  <c r="BZ269"/>
  <c r="BZ227"/>
  <c r="BZ67"/>
  <c r="BZ159"/>
  <c r="BZ92"/>
  <c r="BZ258"/>
  <c r="BY174"/>
  <c r="BY173"/>
  <c r="BY3"/>
  <c r="BY88"/>
  <c r="BY125"/>
  <c r="BY93"/>
  <c r="BY137"/>
  <c r="BY205"/>
  <c r="BY321"/>
  <c r="BY278"/>
  <c r="BY277"/>
  <c r="BY94"/>
  <c r="BY5"/>
  <c r="BY49"/>
  <c r="BY157"/>
  <c r="BY123"/>
  <c r="BY251"/>
  <c r="BY61"/>
  <c r="BY202"/>
  <c r="BY200"/>
  <c r="BY103"/>
  <c r="BY319"/>
  <c r="BY270"/>
  <c r="BY267"/>
  <c r="BY211"/>
  <c r="BY217"/>
  <c r="BY320"/>
  <c r="BY188"/>
  <c r="BY68"/>
  <c r="BY229"/>
  <c r="BY102"/>
  <c r="BY44"/>
  <c r="BY63"/>
  <c r="BY316"/>
  <c r="BY215"/>
  <c r="BY72"/>
  <c r="BY28"/>
  <c r="BY14"/>
  <c r="BY15"/>
  <c r="BY216"/>
  <c r="BY306"/>
  <c r="BY242"/>
  <c r="BY62"/>
  <c r="BY317"/>
  <c r="BY36"/>
  <c r="BY199"/>
  <c r="BY95"/>
  <c r="BY210"/>
  <c r="BY136"/>
  <c r="BY135"/>
  <c r="BY261"/>
  <c r="BY318"/>
  <c r="BY96"/>
  <c r="BY232"/>
  <c r="BY239"/>
  <c r="BY268"/>
  <c r="BY298"/>
  <c r="BY246"/>
  <c r="BY244"/>
  <c r="BY228"/>
  <c r="BY56"/>
  <c r="BY295"/>
  <c r="BY315"/>
  <c r="BY65"/>
  <c r="BY263"/>
  <c r="BY57"/>
  <c r="BY203"/>
  <c r="BY257"/>
  <c r="BY122"/>
  <c r="BY297"/>
  <c r="BY285"/>
  <c r="BY134"/>
  <c r="BY226"/>
  <c r="BY54"/>
  <c r="BY53"/>
  <c r="BY177"/>
  <c r="BY209"/>
  <c r="BY90"/>
  <c r="BY197"/>
  <c r="BY55"/>
  <c r="BY64"/>
  <c r="BY287"/>
  <c r="BY33"/>
  <c r="BY77"/>
  <c r="BY101"/>
  <c r="BY235"/>
  <c r="BY138"/>
  <c r="BY105"/>
  <c r="BY255"/>
  <c r="BY198"/>
  <c r="BY76"/>
  <c r="BY132"/>
  <c r="BY292"/>
  <c r="BY165"/>
  <c r="BY69"/>
  <c r="BY81"/>
  <c r="BY129"/>
  <c r="BY97"/>
  <c r="BY208"/>
  <c r="BY296"/>
  <c r="BY260"/>
  <c r="BY21"/>
  <c r="BY31"/>
  <c r="BY17"/>
  <c r="BY16"/>
  <c r="BY20"/>
  <c r="BY310"/>
  <c r="BY9"/>
  <c r="BY11"/>
  <c r="BY13"/>
  <c r="BY27"/>
  <c r="BY43"/>
  <c r="BY60"/>
  <c r="BY207"/>
  <c r="BY189"/>
  <c r="BY153"/>
  <c r="BY237"/>
  <c r="BY214"/>
  <c r="BY91"/>
  <c r="BY264"/>
  <c r="BY71"/>
  <c r="BY231"/>
  <c r="BY286"/>
  <c r="BY4"/>
  <c r="BY152"/>
  <c r="BY186"/>
  <c r="BY238"/>
  <c r="BY66"/>
  <c r="BY87"/>
  <c r="BY288"/>
  <c r="BY323"/>
  <c r="BY201"/>
  <c r="BY245"/>
  <c r="BY233"/>
  <c r="BY274"/>
  <c r="BY58"/>
  <c r="BY131"/>
  <c r="BY192"/>
  <c r="BY24"/>
  <c r="BY281"/>
  <c r="BY168"/>
  <c r="BY67"/>
  <c r="BY171"/>
  <c r="BY115"/>
  <c r="BY204"/>
  <c r="BY143"/>
  <c r="BY291"/>
  <c r="BY47"/>
  <c r="BY46"/>
  <c r="BY151"/>
  <c r="BY212"/>
  <c r="BY265"/>
  <c r="BY128"/>
  <c r="BY195"/>
  <c r="BY79"/>
  <c r="BY169"/>
  <c r="BY256"/>
  <c r="BY190"/>
  <c r="BY241"/>
  <c r="BY240"/>
  <c r="BY243"/>
  <c r="BY322"/>
  <c r="BY222"/>
  <c r="BY193"/>
  <c r="BY262"/>
  <c r="BY312"/>
  <c r="BY164"/>
  <c r="BY109"/>
  <c r="BY309"/>
  <c r="BY45"/>
  <c r="BY83"/>
  <c r="BY249"/>
  <c r="BY266"/>
  <c r="BY111"/>
  <c r="BY247"/>
  <c r="BY113"/>
  <c r="BY219"/>
  <c r="BY307"/>
  <c r="BY35"/>
  <c r="BY80"/>
  <c r="BY106"/>
  <c r="BY176"/>
  <c r="BY82"/>
  <c r="BY230"/>
  <c r="BY333"/>
  <c r="BY59"/>
  <c r="BY84"/>
  <c r="BY124"/>
  <c r="BY273"/>
  <c r="BY107"/>
  <c r="BY119"/>
  <c r="BY149"/>
  <c r="BY126"/>
  <c r="BY114"/>
  <c r="BY127"/>
  <c r="BY144"/>
  <c r="BY276"/>
  <c r="BY112"/>
  <c r="BY196"/>
  <c r="BY78"/>
  <c r="BY12"/>
  <c r="BY6"/>
  <c r="BY23"/>
  <c r="BY32"/>
  <c r="BY25"/>
  <c r="BY133"/>
  <c r="BY140"/>
  <c r="BY275"/>
  <c r="BY108"/>
  <c r="BY139"/>
  <c r="BY48"/>
  <c r="BY294"/>
  <c r="BY163"/>
  <c r="BY170"/>
  <c r="BY272"/>
  <c r="BY313"/>
  <c r="BY142"/>
  <c r="BY234"/>
  <c r="BY213"/>
  <c r="BY282"/>
  <c r="BY179"/>
  <c r="BY248"/>
  <c r="BY172"/>
  <c r="BY271"/>
  <c r="BY329"/>
  <c r="BY118"/>
  <c r="BY253"/>
  <c r="BY146"/>
  <c r="BY37"/>
  <c r="BY34"/>
  <c r="BY178"/>
  <c r="BY120"/>
  <c r="BY259"/>
  <c r="BY147"/>
  <c r="BY284"/>
  <c r="BY311"/>
  <c r="BY51"/>
  <c r="BY180"/>
  <c r="BY218"/>
  <c r="BY121"/>
  <c r="BY117"/>
  <c r="BY184"/>
  <c r="BY150"/>
  <c r="BY305"/>
  <c r="BY304"/>
  <c r="BY158"/>
  <c r="BY324"/>
  <c r="BY99"/>
  <c r="BY279"/>
  <c r="BY283"/>
  <c r="BY220"/>
  <c r="BY19"/>
  <c r="BY141"/>
  <c r="BY74"/>
  <c r="BY223"/>
  <c r="BY325"/>
  <c r="BY314"/>
  <c r="BY42"/>
  <c r="BY110"/>
  <c r="BY100"/>
  <c r="BY289"/>
  <c r="BY225"/>
  <c r="BY162"/>
  <c r="BY38"/>
  <c r="BY156"/>
  <c r="BY182"/>
  <c r="BY187"/>
  <c r="BY148"/>
  <c r="BY290"/>
  <c r="BY52"/>
  <c r="BY280"/>
  <c r="BY236"/>
  <c r="BY86"/>
  <c r="BY161"/>
  <c r="BY252"/>
  <c r="BY183"/>
  <c r="BY181"/>
  <c r="BY224"/>
  <c r="BY269"/>
  <c r="BY227"/>
  <c r="BY159"/>
  <c r="BY92"/>
  <c r="BY258"/>
  <c r="CI89"/>
  <c r="CK89" s="1"/>
  <c r="CI332"/>
  <c r="CI303"/>
  <c r="CI250"/>
  <c r="CJ302" l="1"/>
  <c r="CJ206"/>
  <c r="CJ7"/>
  <c r="CM7" s="1"/>
  <c r="CJ22"/>
  <c r="CO22" s="1"/>
  <c r="CJ18"/>
  <c r="CN18" s="1"/>
  <c r="CJ130"/>
  <c r="CO130" s="1"/>
  <c r="CJ29"/>
  <c r="CM29" s="1"/>
  <c r="CJ30"/>
  <c r="CK30" s="1"/>
  <c r="CX310"/>
  <c r="CV310"/>
  <c r="CP89"/>
  <c r="CJ194"/>
  <c r="CJ332"/>
  <c r="CK332" s="1"/>
  <c r="CJ191"/>
  <c r="CJ50"/>
  <c r="CJ303"/>
  <c r="CJ123"/>
  <c r="CJ41"/>
  <c r="CJ104"/>
  <c r="CJ250"/>
  <c r="CJ134"/>
  <c r="CJ321"/>
  <c r="CJ281"/>
  <c r="CJ274"/>
  <c r="CK274" s="1"/>
  <c r="CJ96"/>
  <c r="CJ5"/>
  <c r="CJ159"/>
  <c r="CJ232"/>
  <c r="CJ183"/>
  <c r="CJ24"/>
  <c r="CJ236"/>
  <c r="CJ58"/>
  <c r="CJ233"/>
  <c r="CJ38"/>
  <c r="CJ225"/>
  <c r="CJ201"/>
  <c r="CJ314"/>
  <c r="CJ318"/>
  <c r="CJ49"/>
  <c r="CJ238"/>
  <c r="CJ324"/>
  <c r="CJ150"/>
  <c r="CJ186"/>
  <c r="CJ180"/>
  <c r="CJ94"/>
  <c r="CJ152"/>
  <c r="CJ92"/>
  <c r="CJ269"/>
  <c r="CJ181"/>
  <c r="CJ161"/>
  <c r="CJ131"/>
  <c r="CJ290"/>
  <c r="CJ156"/>
  <c r="CJ162"/>
  <c r="CJ289"/>
  <c r="CJ42"/>
  <c r="CJ288"/>
  <c r="CJ279"/>
  <c r="CJ305"/>
  <c r="CJ121"/>
  <c r="CJ136"/>
  <c r="CJ258"/>
  <c r="CJ227"/>
  <c r="CJ168"/>
  <c r="CJ252"/>
  <c r="CJ86"/>
  <c r="CJ52"/>
  <c r="CJ148"/>
  <c r="CJ182"/>
  <c r="CJ245"/>
  <c r="CJ110"/>
  <c r="CJ325"/>
  <c r="CJ66"/>
  <c r="CJ99"/>
  <c r="CJ304"/>
  <c r="CJ117"/>
  <c r="CJ135"/>
  <c r="CJ51"/>
  <c r="CJ277"/>
  <c r="CJ284"/>
  <c r="CJ146"/>
  <c r="CJ231"/>
  <c r="CJ248"/>
  <c r="CJ282"/>
  <c r="CJ313"/>
  <c r="CJ170"/>
  <c r="CJ199"/>
  <c r="CJ137"/>
  <c r="CJ237"/>
  <c r="CJ139"/>
  <c r="CJ125"/>
  <c r="CJ275"/>
  <c r="CJ13"/>
  <c r="CJ9"/>
  <c r="CJ17"/>
  <c r="CJ21"/>
  <c r="CJ3"/>
  <c r="CJ67"/>
  <c r="CJ224"/>
  <c r="CJ192"/>
  <c r="CJ280"/>
  <c r="CJ187"/>
  <c r="CJ100"/>
  <c r="CJ87"/>
  <c r="CJ261"/>
  <c r="CJ158"/>
  <c r="CJ184"/>
  <c r="CJ218"/>
  <c r="CJ210"/>
  <c r="CJ4"/>
  <c r="CJ120"/>
  <c r="CJ37"/>
  <c r="CJ118"/>
  <c r="CJ172"/>
  <c r="CJ264"/>
  <c r="CJ142"/>
  <c r="CJ91"/>
  <c r="CJ317"/>
  <c r="CJ62"/>
  <c r="CJ189"/>
  <c r="CJ216"/>
  <c r="CJ108"/>
  <c r="CJ133"/>
  <c r="CJ310"/>
  <c r="CJ16"/>
  <c r="CJ31"/>
  <c r="CJ259"/>
  <c r="CJ34"/>
  <c r="CJ253"/>
  <c r="CJ271"/>
  <c r="CJ71"/>
  <c r="CJ234"/>
  <c r="CJ95"/>
  <c r="CJ294"/>
  <c r="CJ36"/>
  <c r="CJ93"/>
  <c r="CJ153"/>
  <c r="CJ306"/>
  <c r="CJ60"/>
  <c r="CJ25"/>
  <c r="CJ11"/>
  <c r="CJ20"/>
  <c r="CJ6"/>
  <c r="CJ185"/>
  <c r="CJ196"/>
  <c r="CJ144"/>
  <c r="CJ129"/>
  <c r="CJ165"/>
  <c r="CJ107"/>
  <c r="CJ76"/>
  <c r="CJ198"/>
  <c r="CJ333"/>
  <c r="CJ230"/>
  <c r="CJ63"/>
  <c r="CJ173"/>
  <c r="CJ68"/>
  <c r="CJ307"/>
  <c r="CJ188"/>
  <c r="CJ55"/>
  <c r="CJ111"/>
  <c r="CJ90"/>
  <c r="CJ45"/>
  <c r="CJ312"/>
  <c r="CJ177"/>
  <c r="CJ270"/>
  <c r="CJ174"/>
  <c r="CJ54"/>
  <c r="CJ297"/>
  <c r="CJ257"/>
  <c r="CJ65"/>
  <c r="CJ243"/>
  <c r="CJ241"/>
  <c r="CJ256"/>
  <c r="CJ56"/>
  <c r="CJ228"/>
  <c r="CJ128"/>
  <c r="CJ239"/>
  <c r="CJ291"/>
  <c r="CJ115"/>
  <c r="CJ221"/>
  <c r="CJ278"/>
  <c r="CJ178"/>
  <c r="CJ286"/>
  <c r="CJ329"/>
  <c r="CJ179"/>
  <c r="CJ213"/>
  <c r="CJ163"/>
  <c r="CJ214"/>
  <c r="CJ48"/>
  <c r="CJ242"/>
  <c r="CJ207"/>
  <c r="CJ88"/>
  <c r="CJ43"/>
  <c r="CJ27"/>
  <c r="CJ32"/>
  <c r="CJ23"/>
  <c r="CJ15"/>
  <c r="CJ14"/>
  <c r="CJ12"/>
  <c r="CJ28"/>
  <c r="CJ296"/>
  <c r="CJ276"/>
  <c r="CJ114"/>
  <c r="CJ69"/>
  <c r="CJ119"/>
  <c r="CJ132"/>
  <c r="CJ59"/>
  <c r="CJ105"/>
  <c r="CJ138"/>
  <c r="CJ176"/>
  <c r="CJ101"/>
  <c r="CJ35"/>
  <c r="CJ320"/>
  <c r="CJ247"/>
  <c r="CJ197"/>
  <c r="CJ83"/>
  <c r="CJ164"/>
  <c r="CJ209"/>
  <c r="CJ267"/>
  <c r="CJ53"/>
  <c r="CJ285"/>
  <c r="CJ263"/>
  <c r="CJ222"/>
  <c r="CJ322"/>
  <c r="CJ195"/>
  <c r="CJ298"/>
  <c r="CJ268"/>
  <c r="CJ204"/>
  <c r="CJ260"/>
  <c r="CJ112"/>
  <c r="CJ127"/>
  <c r="CJ81"/>
  <c r="CJ292"/>
  <c r="CJ124"/>
  <c r="CJ84"/>
  <c r="CJ255"/>
  <c r="CJ316"/>
  <c r="CJ82"/>
  <c r="CJ102"/>
  <c r="CJ106"/>
  <c r="CJ77"/>
  <c r="CJ287"/>
  <c r="CJ64"/>
  <c r="CJ249"/>
  <c r="CJ109"/>
  <c r="CJ193"/>
  <c r="CJ103"/>
  <c r="CJ61"/>
  <c r="CJ251"/>
  <c r="CJ57"/>
  <c r="CJ295"/>
  <c r="CJ240"/>
  <c r="CJ79"/>
  <c r="CJ246"/>
  <c r="CJ212"/>
  <c r="CJ47"/>
  <c r="CJ171"/>
  <c r="CJ208"/>
  <c r="CJ97"/>
  <c r="CJ126"/>
  <c r="CJ149"/>
  <c r="CJ273"/>
  <c r="CJ72"/>
  <c r="CJ215"/>
  <c r="CJ44"/>
  <c r="CJ229"/>
  <c r="CJ80"/>
  <c r="CJ33"/>
  <c r="CJ219"/>
  <c r="CJ113"/>
  <c r="CJ266"/>
  <c r="CJ217"/>
  <c r="CJ309"/>
  <c r="CJ211"/>
  <c r="CJ262"/>
  <c r="CJ319"/>
  <c r="CJ226"/>
  <c r="CJ122"/>
  <c r="CJ203"/>
  <c r="CJ315"/>
  <c r="CJ190"/>
  <c r="CJ169"/>
  <c r="CJ157"/>
  <c r="CJ244"/>
  <c r="CJ265"/>
  <c r="CJ46"/>
  <c r="CJ143"/>
  <c r="CJ78"/>
  <c r="CM78" s="1"/>
  <c r="CJ166"/>
  <c r="CN302" l="1"/>
  <c r="CO302"/>
  <c r="CK302"/>
  <c r="CM302"/>
  <c r="CK7"/>
  <c r="CN7"/>
  <c r="CK22"/>
  <c r="CM22"/>
  <c r="CO29"/>
  <c r="CN130"/>
  <c r="CO7"/>
  <c r="CN30"/>
  <c r="CK29"/>
  <c r="CN22"/>
  <c r="CM18"/>
  <c r="CN29"/>
  <c r="CK130"/>
  <c r="CO30"/>
  <c r="CM130"/>
  <c r="CM30"/>
  <c r="CO18"/>
  <c r="CK18"/>
  <c r="CO46"/>
  <c r="CM46"/>
  <c r="CN46"/>
  <c r="CO211"/>
  <c r="CM211"/>
  <c r="CN211"/>
  <c r="CO72"/>
  <c r="CM72"/>
  <c r="CN72"/>
  <c r="CM240"/>
  <c r="CN240"/>
  <c r="CO240"/>
  <c r="CM106"/>
  <c r="CN106"/>
  <c r="CO106"/>
  <c r="CM209"/>
  <c r="CN209"/>
  <c r="CO209"/>
  <c r="CM132"/>
  <c r="CN132"/>
  <c r="CO132"/>
  <c r="CN32"/>
  <c r="CO32"/>
  <c r="CM32"/>
  <c r="CN329"/>
  <c r="CO329"/>
  <c r="CM329"/>
  <c r="CN56"/>
  <c r="CO56"/>
  <c r="CM56"/>
  <c r="CN45"/>
  <c r="CO45"/>
  <c r="CM45"/>
  <c r="CN76"/>
  <c r="CO76"/>
  <c r="CM76"/>
  <c r="CO25"/>
  <c r="CM25"/>
  <c r="CN25"/>
  <c r="CM108"/>
  <c r="CN108"/>
  <c r="CO108"/>
  <c r="CM120"/>
  <c r="CN120"/>
  <c r="CO120"/>
  <c r="CM327"/>
  <c r="CN327"/>
  <c r="CO327"/>
  <c r="CM9"/>
  <c r="CN9"/>
  <c r="CO9"/>
  <c r="CM248"/>
  <c r="CN248"/>
  <c r="CO248"/>
  <c r="CN136"/>
  <c r="CO136"/>
  <c r="CM136"/>
  <c r="CN269"/>
  <c r="CO269"/>
  <c r="CM269"/>
  <c r="CO314"/>
  <c r="CM314"/>
  <c r="CN314"/>
  <c r="CO183"/>
  <c r="CM183"/>
  <c r="CN183"/>
  <c r="CM41"/>
  <c r="CN41"/>
  <c r="CO41"/>
  <c r="CO191"/>
  <c r="CM191"/>
  <c r="CN191"/>
  <c r="CO262"/>
  <c r="CM262"/>
  <c r="CN262"/>
  <c r="CM260"/>
  <c r="CN260"/>
  <c r="CO260"/>
  <c r="CN12"/>
  <c r="CO12"/>
  <c r="CM12"/>
  <c r="CN228"/>
  <c r="CO228"/>
  <c r="CM228"/>
  <c r="CN55"/>
  <c r="CO55"/>
  <c r="CM55"/>
  <c r="CN129"/>
  <c r="CO129"/>
  <c r="CM129"/>
  <c r="CO26"/>
  <c r="CM26"/>
  <c r="CN26"/>
  <c r="CO11"/>
  <c r="CM11"/>
  <c r="CN11"/>
  <c r="CO306"/>
  <c r="CM306"/>
  <c r="CN306"/>
  <c r="CO294"/>
  <c r="CM294"/>
  <c r="CN294"/>
  <c r="CO271"/>
  <c r="CM271"/>
  <c r="CN271"/>
  <c r="CM31"/>
  <c r="CN31"/>
  <c r="CO31"/>
  <c r="CM133"/>
  <c r="CN133"/>
  <c r="CO133"/>
  <c r="CM62"/>
  <c r="CN62"/>
  <c r="CO62"/>
  <c r="CM142"/>
  <c r="CN142"/>
  <c r="CO142"/>
  <c r="CM37"/>
  <c r="CN37"/>
  <c r="CO37"/>
  <c r="CM218"/>
  <c r="CN218"/>
  <c r="CO218"/>
  <c r="CM87"/>
  <c r="CN87"/>
  <c r="CO87"/>
  <c r="CM328"/>
  <c r="CN328"/>
  <c r="CO328"/>
  <c r="CM192"/>
  <c r="CN192"/>
  <c r="CO192"/>
  <c r="CM17"/>
  <c r="CN17"/>
  <c r="CO17"/>
  <c r="CM275"/>
  <c r="CN275"/>
  <c r="CO275"/>
  <c r="CM137"/>
  <c r="CN137"/>
  <c r="CO137"/>
  <c r="CM282"/>
  <c r="CN282"/>
  <c r="CO282"/>
  <c r="CM284"/>
  <c r="CN284"/>
  <c r="CO284"/>
  <c r="CM117"/>
  <c r="CN117"/>
  <c r="CO117"/>
  <c r="CM245"/>
  <c r="CN245"/>
  <c r="CO245"/>
  <c r="CM52"/>
  <c r="CN52"/>
  <c r="CO52"/>
  <c r="CM227"/>
  <c r="CN227"/>
  <c r="CO227"/>
  <c r="CN279"/>
  <c r="CO279"/>
  <c r="CM279"/>
  <c r="CN42"/>
  <c r="CO42"/>
  <c r="CM42"/>
  <c r="CN160"/>
  <c r="CO160"/>
  <c r="CM160"/>
  <c r="CN181"/>
  <c r="CO181"/>
  <c r="CM181"/>
  <c r="CO94"/>
  <c r="CM94"/>
  <c r="CN94"/>
  <c r="CO324"/>
  <c r="CM324"/>
  <c r="CN324"/>
  <c r="CO318"/>
  <c r="CM318"/>
  <c r="CN318"/>
  <c r="CO38"/>
  <c r="CM38"/>
  <c r="CN38"/>
  <c r="CO24"/>
  <c r="CM24"/>
  <c r="CN24"/>
  <c r="CM5"/>
  <c r="CN5"/>
  <c r="CO5"/>
  <c r="CM321"/>
  <c r="CN321"/>
  <c r="CO321"/>
  <c r="CM104"/>
  <c r="CN104"/>
  <c r="CO104"/>
  <c r="CN50"/>
  <c r="CO50"/>
  <c r="CM50"/>
  <c r="CO169"/>
  <c r="CM169"/>
  <c r="CN169"/>
  <c r="CO229"/>
  <c r="CM229"/>
  <c r="CN229"/>
  <c r="CM47"/>
  <c r="CN47"/>
  <c r="CO47"/>
  <c r="CM249"/>
  <c r="CN249"/>
  <c r="CO249"/>
  <c r="CM255"/>
  <c r="CN255"/>
  <c r="CO255"/>
  <c r="CM298"/>
  <c r="CN298"/>
  <c r="CO298"/>
  <c r="CM247"/>
  <c r="CN247"/>
  <c r="CO247"/>
  <c r="CM276"/>
  <c r="CN276"/>
  <c r="CO276"/>
  <c r="CN207"/>
  <c r="CO207"/>
  <c r="CM207"/>
  <c r="CN278"/>
  <c r="CO278"/>
  <c r="CM278"/>
  <c r="CN65"/>
  <c r="CO65"/>
  <c r="CM65"/>
  <c r="CN188"/>
  <c r="CO188"/>
  <c r="CM188"/>
  <c r="CN144"/>
  <c r="CO144"/>
  <c r="CM144"/>
  <c r="CO95"/>
  <c r="CM95"/>
  <c r="CN95"/>
  <c r="CM16"/>
  <c r="CN16"/>
  <c r="CO16"/>
  <c r="CM264"/>
  <c r="CN264"/>
  <c r="CO264"/>
  <c r="CM125"/>
  <c r="CN125"/>
  <c r="CO125"/>
  <c r="CM277"/>
  <c r="CN277"/>
  <c r="CO277"/>
  <c r="CM299"/>
  <c r="CN299"/>
  <c r="CO299"/>
  <c r="CN258"/>
  <c r="CO258"/>
  <c r="CM258"/>
  <c r="CN289"/>
  <c r="CO289"/>
  <c r="CM289"/>
  <c r="CO238"/>
  <c r="CM238"/>
  <c r="CN238"/>
  <c r="CM96"/>
  <c r="CN96"/>
  <c r="CO96"/>
  <c r="CO143"/>
  <c r="CM143"/>
  <c r="CN143"/>
  <c r="CO203"/>
  <c r="CM203"/>
  <c r="CN203"/>
  <c r="CO80"/>
  <c r="CM80"/>
  <c r="CN80"/>
  <c r="CO126"/>
  <c r="CM126"/>
  <c r="CN126"/>
  <c r="CM79"/>
  <c r="CN79"/>
  <c r="CO79"/>
  <c r="CM109"/>
  <c r="CN109"/>
  <c r="CO109"/>
  <c r="CM292"/>
  <c r="CN292"/>
  <c r="CO292"/>
  <c r="CM222"/>
  <c r="CN222"/>
  <c r="CO222"/>
  <c r="CM197"/>
  <c r="CN197"/>
  <c r="CO197"/>
  <c r="CM59"/>
  <c r="CN59"/>
  <c r="CO59"/>
  <c r="CN145"/>
  <c r="CO145"/>
  <c r="CM145"/>
  <c r="CN214"/>
  <c r="CO214"/>
  <c r="CM214"/>
  <c r="CN243"/>
  <c r="CO243"/>
  <c r="CM243"/>
  <c r="CN312"/>
  <c r="CO312"/>
  <c r="CM312"/>
  <c r="CN198"/>
  <c r="CO198"/>
  <c r="CM198"/>
  <c r="CO308"/>
  <c r="CM308"/>
  <c r="CN308"/>
  <c r="CO244"/>
  <c r="CM244"/>
  <c r="CN244"/>
  <c r="CO315"/>
  <c r="CM315"/>
  <c r="CN315"/>
  <c r="CO319"/>
  <c r="CM319"/>
  <c r="CN319"/>
  <c r="CO217"/>
  <c r="CM217"/>
  <c r="CN217"/>
  <c r="CO33"/>
  <c r="CM33"/>
  <c r="CN33"/>
  <c r="CO149"/>
  <c r="CM149"/>
  <c r="CN149"/>
  <c r="CM334"/>
  <c r="CN334"/>
  <c r="CO334"/>
  <c r="CM246"/>
  <c r="CN246"/>
  <c r="CO246"/>
  <c r="CM57"/>
  <c r="CN57"/>
  <c r="CO57"/>
  <c r="CM193"/>
  <c r="CN193"/>
  <c r="CO193"/>
  <c r="CM287"/>
  <c r="CN287"/>
  <c r="CO287"/>
  <c r="CM82"/>
  <c r="CN82"/>
  <c r="CO82"/>
  <c r="CM124"/>
  <c r="CN124"/>
  <c r="CO124"/>
  <c r="CM112"/>
  <c r="CN112"/>
  <c r="CO112"/>
  <c r="CM204"/>
  <c r="CN204"/>
  <c r="CO204"/>
  <c r="CM322"/>
  <c r="CN322"/>
  <c r="CO322"/>
  <c r="CM53"/>
  <c r="CN53"/>
  <c r="CO53"/>
  <c r="CM83"/>
  <c r="CN83"/>
  <c r="CO83"/>
  <c r="CM35"/>
  <c r="CN35"/>
  <c r="CO35"/>
  <c r="CM105"/>
  <c r="CN105"/>
  <c r="CO105"/>
  <c r="CM69"/>
  <c r="CN69"/>
  <c r="CO69"/>
  <c r="CN28"/>
  <c r="CO28"/>
  <c r="CM28"/>
  <c r="CN23"/>
  <c r="CO23"/>
  <c r="CM23"/>
  <c r="CN43"/>
  <c r="CO43"/>
  <c r="CM43"/>
  <c r="CN48"/>
  <c r="CO48"/>
  <c r="CM48"/>
  <c r="CN213"/>
  <c r="CO213"/>
  <c r="CM213"/>
  <c r="CN178"/>
  <c r="CO178"/>
  <c r="CM178"/>
  <c r="CN115"/>
  <c r="CO115"/>
  <c r="CM115"/>
  <c r="CN128"/>
  <c r="CO128"/>
  <c r="CM128"/>
  <c r="CN241"/>
  <c r="CO241"/>
  <c r="CM241"/>
  <c r="CN297"/>
  <c r="CO297"/>
  <c r="CM297"/>
  <c r="CN177"/>
  <c r="CO177"/>
  <c r="CM177"/>
  <c r="CN111"/>
  <c r="CO111"/>
  <c r="CM111"/>
  <c r="CN68"/>
  <c r="CO68"/>
  <c r="CM68"/>
  <c r="CN333"/>
  <c r="CO333"/>
  <c r="CM333"/>
  <c r="CN165"/>
  <c r="CO165"/>
  <c r="CM165"/>
  <c r="CO185"/>
  <c r="CM185"/>
  <c r="CN185"/>
  <c r="CO10"/>
  <c r="CM10"/>
  <c r="CN10"/>
  <c r="CO60"/>
  <c r="CM60"/>
  <c r="CN60"/>
  <c r="CO36"/>
  <c r="CM36"/>
  <c r="CN36"/>
  <c r="CO71"/>
  <c r="CM71"/>
  <c r="CN71"/>
  <c r="CO259"/>
  <c r="CM259"/>
  <c r="CN259"/>
  <c r="CM8"/>
  <c r="CN8"/>
  <c r="CO8"/>
  <c r="CM189"/>
  <c r="CN189"/>
  <c r="CO189"/>
  <c r="CM91"/>
  <c r="CN91"/>
  <c r="CO91"/>
  <c r="CM118"/>
  <c r="CN118"/>
  <c r="CO118"/>
  <c r="CM210"/>
  <c r="CN210"/>
  <c r="CO210"/>
  <c r="CM261"/>
  <c r="CN261"/>
  <c r="CO261"/>
  <c r="CM100"/>
  <c r="CN100"/>
  <c r="CO100"/>
  <c r="CM280"/>
  <c r="CN280"/>
  <c r="CO280"/>
  <c r="CM21"/>
  <c r="CN21"/>
  <c r="CO21"/>
  <c r="CM155"/>
  <c r="CN155"/>
  <c r="CO155"/>
  <c r="CM237"/>
  <c r="CN237"/>
  <c r="CO237"/>
  <c r="CM313"/>
  <c r="CN313"/>
  <c r="CO313"/>
  <c r="CM146"/>
  <c r="CN146"/>
  <c r="CO146"/>
  <c r="CM135"/>
  <c r="CN135"/>
  <c r="CO135"/>
  <c r="CM66"/>
  <c r="CN66"/>
  <c r="CO66"/>
  <c r="CM110"/>
  <c r="CN110"/>
  <c r="CO110"/>
  <c r="CM148"/>
  <c r="CN148"/>
  <c r="CO148"/>
  <c r="CM168"/>
  <c r="CN168"/>
  <c r="CO168"/>
  <c r="CN305"/>
  <c r="CO305"/>
  <c r="CM305"/>
  <c r="CN156"/>
  <c r="CO156"/>
  <c r="CM156"/>
  <c r="CN161"/>
  <c r="CO161"/>
  <c r="CM161"/>
  <c r="CO152"/>
  <c r="CM152"/>
  <c r="CN152"/>
  <c r="CO150"/>
  <c r="CM150"/>
  <c r="CN150"/>
  <c r="CO225"/>
  <c r="CM225"/>
  <c r="CN225"/>
  <c r="CO236"/>
  <c r="CM236"/>
  <c r="CN236"/>
  <c r="CO159"/>
  <c r="CM159"/>
  <c r="CN159"/>
  <c r="CM281"/>
  <c r="CN281"/>
  <c r="CO281"/>
  <c r="CM250"/>
  <c r="CN250"/>
  <c r="CO250"/>
  <c r="CM303"/>
  <c r="CN303"/>
  <c r="CO303"/>
  <c r="CO194"/>
  <c r="CM194"/>
  <c r="CN194"/>
  <c r="CO122"/>
  <c r="CM122"/>
  <c r="CN122"/>
  <c r="CO113"/>
  <c r="CM113"/>
  <c r="CN113"/>
  <c r="CO97"/>
  <c r="CM97"/>
  <c r="CN97"/>
  <c r="CM61"/>
  <c r="CN61"/>
  <c r="CO61"/>
  <c r="CM81"/>
  <c r="CN81"/>
  <c r="CO81"/>
  <c r="CM263"/>
  <c r="CN263"/>
  <c r="CO263"/>
  <c r="CM176"/>
  <c r="CN176"/>
  <c r="CO176"/>
  <c r="CN14"/>
  <c r="CO14"/>
  <c r="CM14"/>
  <c r="CN163"/>
  <c r="CO163"/>
  <c r="CM163"/>
  <c r="CN239"/>
  <c r="CO239"/>
  <c r="CM239"/>
  <c r="CN174"/>
  <c r="CO174"/>
  <c r="CM174"/>
  <c r="CN63"/>
  <c r="CO63"/>
  <c r="CM63"/>
  <c r="CO6"/>
  <c r="CM6"/>
  <c r="CN6"/>
  <c r="CO153"/>
  <c r="CM153"/>
  <c r="CN153"/>
  <c r="CO253"/>
  <c r="CM253"/>
  <c r="CN253"/>
  <c r="CM317"/>
  <c r="CN317"/>
  <c r="CO317"/>
  <c r="CM184"/>
  <c r="CN184"/>
  <c r="CO184"/>
  <c r="CM224"/>
  <c r="CN224"/>
  <c r="CO224"/>
  <c r="CM199"/>
  <c r="CN199"/>
  <c r="CO199"/>
  <c r="CM304"/>
  <c r="CN304"/>
  <c r="CO304"/>
  <c r="CM86"/>
  <c r="CN86"/>
  <c r="CO86"/>
  <c r="CN288"/>
  <c r="CO288"/>
  <c r="CM288"/>
  <c r="CN290"/>
  <c r="CO290"/>
  <c r="CM290"/>
  <c r="CO180"/>
  <c r="CM180"/>
  <c r="CN180"/>
  <c r="CO233"/>
  <c r="CM233"/>
  <c r="CN233"/>
  <c r="CM206"/>
  <c r="CN206"/>
  <c r="CO206"/>
  <c r="CM166"/>
  <c r="CN166"/>
  <c r="CO166"/>
  <c r="CO157"/>
  <c r="CM157"/>
  <c r="CN157"/>
  <c r="CO266"/>
  <c r="CM266"/>
  <c r="CN266"/>
  <c r="CO215"/>
  <c r="CM215"/>
  <c r="CN215"/>
  <c r="CM171"/>
  <c r="CN171"/>
  <c r="CO171"/>
  <c r="CM251"/>
  <c r="CN251"/>
  <c r="CO251"/>
  <c r="CM77"/>
  <c r="CN77"/>
  <c r="CO77"/>
  <c r="CM316"/>
  <c r="CN316"/>
  <c r="CO316"/>
  <c r="CM268"/>
  <c r="CN268"/>
  <c r="CO268"/>
  <c r="CM267"/>
  <c r="CN267"/>
  <c r="CO267"/>
  <c r="CM101"/>
  <c r="CN101"/>
  <c r="CO101"/>
  <c r="CM114"/>
  <c r="CN114"/>
  <c r="CO114"/>
  <c r="CN88"/>
  <c r="CO88"/>
  <c r="CM88"/>
  <c r="CN179"/>
  <c r="CO179"/>
  <c r="CM179"/>
  <c r="CN291"/>
  <c r="CO291"/>
  <c r="CM291"/>
  <c r="CN54"/>
  <c r="CO54"/>
  <c r="CM54"/>
  <c r="CN173"/>
  <c r="CO173"/>
  <c r="CM173"/>
  <c r="CO265"/>
  <c r="CM265"/>
  <c r="CN265"/>
  <c r="CO190"/>
  <c r="CM190"/>
  <c r="CN190"/>
  <c r="CO226"/>
  <c r="CM226"/>
  <c r="CN226"/>
  <c r="CO309"/>
  <c r="CM309"/>
  <c r="CN309"/>
  <c r="CO219"/>
  <c r="CM219"/>
  <c r="CN219"/>
  <c r="CO44"/>
  <c r="CM44"/>
  <c r="CN44"/>
  <c r="CO273"/>
  <c r="CM273"/>
  <c r="CN273"/>
  <c r="CO208"/>
  <c r="CM208"/>
  <c r="CN208"/>
  <c r="CM212"/>
  <c r="CN212"/>
  <c r="CO212"/>
  <c r="CM295"/>
  <c r="CN295"/>
  <c r="CO295"/>
  <c r="CM103"/>
  <c r="CN103"/>
  <c r="CO103"/>
  <c r="CM64"/>
  <c r="CN64"/>
  <c r="CO64"/>
  <c r="CM102"/>
  <c r="CN102"/>
  <c r="CO102"/>
  <c r="CM84"/>
  <c r="CN84"/>
  <c r="CO84"/>
  <c r="CM127"/>
  <c r="CN127"/>
  <c r="CO127"/>
  <c r="CM195"/>
  <c r="CN195"/>
  <c r="CO195"/>
  <c r="CM285"/>
  <c r="CN285"/>
  <c r="CO285"/>
  <c r="CM164"/>
  <c r="CN164"/>
  <c r="CO164"/>
  <c r="CM320"/>
  <c r="CN320"/>
  <c r="CO320"/>
  <c r="CM138"/>
  <c r="CN138"/>
  <c r="CO138"/>
  <c r="CM119"/>
  <c r="CN119"/>
  <c r="CO119"/>
  <c r="CM296"/>
  <c r="CN296"/>
  <c r="CO296"/>
  <c r="CN15"/>
  <c r="CO15"/>
  <c r="CM15"/>
  <c r="CN27"/>
  <c r="CO27"/>
  <c r="CM27"/>
  <c r="CN242"/>
  <c r="CO242"/>
  <c r="CM242"/>
  <c r="CN286"/>
  <c r="CO286"/>
  <c r="CM286"/>
  <c r="CN221"/>
  <c r="CO221"/>
  <c r="CM221"/>
  <c r="CN256"/>
  <c r="CO256"/>
  <c r="CM256"/>
  <c r="CN257"/>
  <c r="CO257"/>
  <c r="CM257"/>
  <c r="CN270"/>
  <c r="CO270"/>
  <c r="CM270"/>
  <c r="CN90"/>
  <c r="CO90"/>
  <c r="CM90"/>
  <c r="CN307"/>
  <c r="CO307"/>
  <c r="CM307"/>
  <c r="CN230"/>
  <c r="CO230"/>
  <c r="CM230"/>
  <c r="CN107"/>
  <c r="CO107"/>
  <c r="CM107"/>
  <c r="CN196"/>
  <c r="CO196"/>
  <c r="CM196"/>
  <c r="CO20"/>
  <c r="CM20"/>
  <c r="CN20"/>
  <c r="CO93"/>
  <c r="CM93"/>
  <c r="CN93"/>
  <c r="CO234"/>
  <c r="CM234"/>
  <c r="CN234"/>
  <c r="CO34"/>
  <c r="CM34"/>
  <c r="CN34"/>
  <c r="CM310"/>
  <c r="CN310"/>
  <c r="CO310"/>
  <c r="CM216"/>
  <c r="CN216"/>
  <c r="CO216"/>
  <c r="CM172"/>
  <c r="CN172"/>
  <c r="CO172"/>
  <c r="CM4"/>
  <c r="CN4"/>
  <c r="CO4"/>
  <c r="CM158"/>
  <c r="CN158"/>
  <c r="CO158"/>
  <c r="CM187"/>
  <c r="CN187"/>
  <c r="CO187"/>
  <c r="CM67"/>
  <c r="CN67"/>
  <c r="CO67"/>
  <c r="CM3"/>
  <c r="CN3"/>
  <c r="CO3"/>
  <c r="CM13"/>
  <c r="CN13"/>
  <c r="CO13"/>
  <c r="CM139"/>
  <c r="CN139"/>
  <c r="CO139"/>
  <c r="CM170"/>
  <c r="CN170"/>
  <c r="CO170"/>
  <c r="CM231"/>
  <c r="CN231"/>
  <c r="CO231"/>
  <c r="CM51"/>
  <c r="CN51"/>
  <c r="CO51"/>
  <c r="CM99"/>
  <c r="CN99"/>
  <c r="CO99"/>
  <c r="CM325"/>
  <c r="CN325"/>
  <c r="CO325"/>
  <c r="CM182"/>
  <c r="CN182"/>
  <c r="CO182"/>
  <c r="CM252"/>
  <c r="CN252"/>
  <c r="CO252"/>
  <c r="CN121"/>
  <c r="CO121"/>
  <c r="CM121"/>
  <c r="CN162"/>
  <c r="CO162"/>
  <c r="CM162"/>
  <c r="CN131"/>
  <c r="CO131"/>
  <c r="CM131"/>
  <c r="CN92"/>
  <c r="CO92"/>
  <c r="CM92"/>
  <c r="CO186"/>
  <c r="CM186"/>
  <c r="CN186"/>
  <c r="CO49"/>
  <c r="CM49"/>
  <c r="CN49"/>
  <c r="CO201"/>
  <c r="CM201"/>
  <c r="CN201"/>
  <c r="CO58"/>
  <c r="CM58"/>
  <c r="CN58"/>
  <c r="CO232"/>
  <c r="CM232"/>
  <c r="CN232"/>
  <c r="CM274"/>
  <c r="CN274"/>
  <c r="CO274"/>
  <c r="CM134"/>
  <c r="CN134"/>
  <c r="CO134"/>
  <c r="CM123"/>
  <c r="CN123"/>
  <c r="CO123"/>
  <c r="CO332"/>
  <c r="CM332"/>
  <c r="CN332"/>
  <c r="CK5"/>
  <c r="CK321"/>
  <c r="CK96"/>
  <c r="CK104"/>
  <c r="CK194"/>
  <c r="CK250"/>
  <c r="CK303"/>
  <c r="CK134"/>
  <c r="CK123"/>
  <c r="CK191"/>
  <c r="CK206"/>
  <c r="CK41"/>
  <c r="CK50"/>
  <c r="CK281"/>
  <c r="CK308"/>
  <c r="CK315"/>
  <c r="CK190"/>
  <c r="CK309"/>
  <c r="CK219"/>
  <c r="CK273"/>
  <c r="CK46"/>
  <c r="CK169"/>
  <c r="CK122"/>
  <c r="CK211"/>
  <c r="CK113"/>
  <c r="CK229"/>
  <c r="CK72"/>
  <c r="CK97"/>
  <c r="CK246"/>
  <c r="CK57"/>
  <c r="CK193"/>
  <c r="CK287"/>
  <c r="CK82"/>
  <c r="CK124"/>
  <c r="CK112"/>
  <c r="CK204"/>
  <c r="CK322"/>
  <c r="CK53"/>
  <c r="CK83"/>
  <c r="CK35"/>
  <c r="CK105"/>
  <c r="CK69"/>
  <c r="CK28"/>
  <c r="CK23"/>
  <c r="CK43"/>
  <c r="CK48"/>
  <c r="CK213"/>
  <c r="CK178"/>
  <c r="CK239"/>
  <c r="CK56"/>
  <c r="CK65"/>
  <c r="CK174"/>
  <c r="CK45"/>
  <c r="CK188"/>
  <c r="CK63"/>
  <c r="CK76"/>
  <c r="CK144"/>
  <c r="CK6"/>
  <c r="CK25"/>
  <c r="CK153"/>
  <c r="CK95"/>
  <c r="CK253"/>
  <c r="CK310"/>
  <c r="CK216"/>
  <c r="CK172"/>
  <c r="CK4"/>
  <c r="CK158"/>
  <c r="CK187"/>
  <c r="CK67"/>
  <c r="CK9"/>
  <c r="CK125"/>
  <c r="CK199"/>
  <c r="CK248"/>
  <c r="CK277"/>
  <c r="CK304"/>
  <c r="CK299"/>
  <c r="CK86"/>
  <c r="CK258"/>
  <c r="CK305"/>
  <c r="CK156"/>
  <c r="CK161"/>
  <c r="CK152"/>
  <c r="CK150"/>
  <c r="CK225"/>
  <c r="CK236"/>
  <c r="CK159"/>
  <c r="CK265"/>
  <c r="CK143"/>
  <c r="CK157"/>
  <c r="CK203"/>
  <c r="CK262"/>
  <c r="CK266"/>
  <c r="CK80"/>
  <c r="CK215"/>
  <c r="CK126"/>
  <c r="CK212"/>
  <c r="CK295"/>
  <c r="CK103"/>
  <c r="CK64"/>
  <c r="CK102"/>
  <c r="CK84"/>
  <c r="CK127"/>
  <c r="CK195"/>
  <c r="CK285"/>
  <c r="CK164"/>
  <c r="CK320"/>
  <c r="CK138"/>
  <c r="CK119"/>
  <c r="CK296"/>
  <c r="CK15"/>
  <c r="CK27"/>
  <c r="CK242"/>
  <c r="CK286"/>
  <c r="CK291"/>
  <c r="CK228"/>
  <c r="CK243"/>
  <c r="CK54"/>
  <c r="CK312"/>
  <c r="CK55"/>
  <c r="CK173"/>
  <c r="CK198"/>
  <c r="CK129"/>
  <c r="CK26"/>
  <c r="CK11"/>
  <c r="CK306"/>
  <c r="CK294"/>
  <c r="CK271"/>
  <c r="CK16"/>
  <c r="CK108"/>
  <c r="CK317"/>
  <c r="CK264"/>
  <c r="CK120"/>
  <c r="CK184"/>
  <c r="CK327"/>
  <c r="CK224"/>
  <c r="CK17"/>
  <c r="CK275"/>
  <c r="CK137"/>
  <c r="CK282"/>
  <c r="CK284"/>
  <c r="CK117"/>
  <c r="CK245"/>
  <c r="CK52"/>
  <c r="CK227"/>
  <c r="CK121"/>
  <c r="CK162"/>
  <c r="CK131"/>
  <c r="CK92"/>
  <c r="CK186"/>
  <c r="CK49"/>
  <c r="CK201"/>
  <c r="CK58"/>
  <c r="CK232"/>
  <c r="CK244"/>
  <c r="CK319"/>
  <c r="CK217"/>
  <c r="CK33"/>
  <c r="CK149"/>
  <c r="CK334"/>
  <c r="CK47"/>
  <c r="CK240"/>
  <c r="CK61"/>
  <c r="CK249"/>
  <c r="CK106"/>
  <c r="CK255"/>
  <c r="CK81"/>
  <c r="CK298"/>
  <c r="CK263"/>
  <c r="CK209"/>
  <c r="CK247"/>
  <c r="CK176"/>
  <c r="CK132"/>
  <c r="CK276"/>
  <c r="CK14"/>
  <c r="CK32"/>
  <c r="CK207"/>
  <c r="CK163"/>
  <c r="CK329"/>
  <c r="CK278"/>
  <c r="CK115"/>
  <c r="CK128"/>
  <c r="CK241"/>
  <c r="CK297"/>
  <c r="CK177"/>
  <c r="CK111"/>
  <c r="CK68"/>
  <c r="CK333"/>
  <c r="CK165"/>
  <c r="CK185"/>
  <c r="CK10"/>
  <c r="CK60"/>
  <c r="CK36"/>
  <c r="CK71"/>
  <c r="CK259"/>
  <c r="CK31"/>
  <c r="CK133"/>
  <c r="CK62"/>
  <c r="CK142"/>
  <c r="CK37"/>
  <c r="CK218"/>
  <c r="CK87"/>
  <c r="CK328"/>
  <c r="CK192"/>
  <c r="CK21"/>
  <c r="CK237"/>
  <c r="CK313"/>
  <c r="CK146"/>
  <c r="CK135"/>
  <c r="CK66"/>
  <c r="CK110"/>
  <c r="CK148"/>
  <c r="CK168"/>
  <c r="CK136"/>
  <c r="CK288"/>
  <c r="CK289"/>
  <c r="CK290"/>
  <c r="CK269"/>
  <c r="CK180"/>
  <c r="CK238"/>
  <c r="CK314"/>
  <c r="CK233"/>
  <c r="CK183"/>
  <c r="CK226"/>
  <c r="CK44"/>
  <c r="CK208"/>
  <c r="CK171"/>
  <c r="CK79"/>
  <c r="CK251"/>
  <c r="CK109"/>
  <c r="CK77"/>
  <c r="CK316"/>
  <c r="CK292"/>
  <c r="CK260"/>
  <c r="CK268"/>
  <c r="CK222"/>
  <c r="CK267"/>
  <c r="CK197"/>
  <c r="CK101"/>
  <c r="CK59"/>
  <c r="CK114"/>
  <c r="CK12"/>
  <c r="CK145"/>
  <c r="CK88"/>
  <c r="CK214"/>
  <c r="CK179"/>
  <c r="CK221"/>
  <c r="CK256"/>
  <c r="CK257"/>
  <c r="CK270"/>
  <c r="CK90"/>
  <c r="CK307"/>
  <c r="CK230"/>
  <c r="CK107"/>
  <c r="CK196"/>
  <c r="CK20"/>
  <c r="CK93"/>
  <c r="CK234"/>
  <c r="CK34"/>
  <c r="CK8"/>
  <c r="CK189"/>
  <c r="CK91"/>
  <c r="CK118"/>
  <c r="CK210"/>
  <c r="CK261"/>
  <c r="CK100"/>
  <c r="CK280"/>
  <c r="CK3"/>
  <c r="CK13"/>
  <c r="CK139"/>
  <c r="CK170"/>
  <c r="CK231"/>
  <c r="CK51"/>
  <c r="CK99"/>
  <c r="CK325"/>
  <c r="CK182"/>
  <c r="CK252"/>
  <c r="CK279"/>
  <c r="CK42"/>
  <c r="CK160"/>
  <c r="CK181"/>
  <c r="CK94"/>
  <c r="CK324"/>
  <c r="CK318"/>
  <c r="CK38"/>
  <c r="CK24"/>
  <c r="CO78"/>
  <c r="CK78"/>
  <c r="CN78"/>
  <c r="CK166"/>
  <c r="CP302" l="1"/>
  <c r="CP130"/>
  <c r="CP29"/>
  <c r="CP22"/>
  <c r="CP7"/>
  <c r="CP30"/>
  <c r="CP18"/>
  <c r="CP49"/>
  <c r="CP186"/>
  <c r="CP131"/>
  <c r="CP325"/>
  <c r="CP170"/>
  <c r="CP4"/>
  <c r="CP93"/>
  <c r="CP196"/>
  <c r="CP90"/>
  <c r="CP242"/>
  <c r="CP320"/>
  <c r="CP103"/>
  <c r="CP208"/>
  <c r="CP309"/>
  <c r="CP179"/>
  <c r="CP114"/>
  <c r="CP304"/>
  <c r="CP224"/>
  <c r="CP253"/>
  <c r="CP63"/>
  <c r="CP14"/>
  <c r="CP97"/>
  <c r="CP225"/>
  <c r="CP148"/>
  <c r="CP66"/>
  <c r="CP210"/>
  <c r="CP36"/>
  <c r="CP111"/>
  <c r="CP128"/>
  <c r="CP48"/>
  <c r="CP33"/>
  <c r="CP244"/>
  <c r="CP312"/>
  <c r="CP145"/>
  <c r="CP197"/>
  <c r="CP79"/>
  <c r="CP203"/>
  <c r="CP95"/>
  <c r="CP65"/>
  <c r="CP255"/>
  <c r="CP229"/>
  <c r="CP160"/>
  <c r="CP117"/>
  <c r="CP282"/>
  <c r="CP37"/>
  <c r="CP31"/>
  <c r="CP306"/>
  <c r="CP129"/>
  <c r="CP262"/>
  <c r="CP314"/>
  <c r="CP9"/>
  <c r="CP45"/>
  <c r="CP106"/>
  <c r="CP67"/>
  <c r="CP310"/>
  <c r="CP127"/>
  <c r="CP316"/>
  <c r="CP206"/>
  <c r="CP263"/>
  <c r="CP281"/>
  <c r="CP146"/>
  <c r="CP21"/>
  <c r="CP8"/>
  <c r="CP35"/>
  <c r="CP204"/>
  <c r="CP287"/>
  <c r="CP334"/>
  <c r="CP245"/>
  <c r="CP192"/>
  <c r="CP211"/>
  <c r="CP58"/>
  <c r="CP121"/>
  <c r="CP34"/>
  <c r="CP20"/>
  <c r="CP44"/>
  <c r="CP190"/>
  <c r="CP266"/>
  <c r="CP233"/>
  <c r="CP6"/>
  <c r="CP122"/>
  <c r="CP194"/>
  <c r="CP159"/>
  <c r="CP259"/>
  <c r="CP10"/>
  <c r="CP149"/>
  <c r="CP319"/>
  <c r="CP126"/>
  <c r="CP38"/>
  <c r="CP271"/>
  <c r="CP26"/>
  <c r="CP12"/>
  <c r="CP332"/>
  <c r="CP123"/>
  <c r="CP232"/>
  <c r="CP162"/>
  <c r="CP139"/>
  <c r="CP187"/>
  <c r="CP158"/>
  <c r="CP172"/>
  <c r="CP107"/>
  <c r="CP270"/>
  <c r="CP221"/>
  <c r="CP27"/>
  <c r="CP296"/>
  <c r="CP164"/>
  <c r="CP84"/>
  <c r="CP295"/>
  <c r="CP273"/>
  <c r="CP226"/>
  <c r="CP173"/>
  <c r="CP88"/>
  <c r="CP101"/>
  <c r="CP77"/>
  <c r="CP215"/>
  <c r="CP290"/>
  <c r="CP86"/>
  <c r="CP153"/>
  <c r="CP174"/>
  <c r="CP81"/>
  <c r="CP113"/>
  <c r="CP150"/>
  <c r="CP161"/>
  <c r="CP110"/>
  <c r="CP313"/>
  <c r="CP280"/>
  <c r="CP261"/>
  <c r="CP118"/>
  <c r="CP60"/>
  <c r="CP165"/>
  <c r="CP177"/>
  <c r="CP115"/>
  <c r="CP43"/>
  <c r="CP83"/>
  <c r="CP112"/>
  <c r="CP193"/>
  <c r="CP217"/>
  <c r="CP308"/>
  <c r="CP243"/>
  <c r="CP222"/>
  <c r="CP143"/>
  <c r="CP96"/>
  <c r="CP289"/>
  <c r="CP299"/>
  <c r="CP264"/>
  <c r="CP278"/>
  <c r="CP276"/>
  <c r="CP249"/>
  <c r="CP169"/>
  <c r="CP104"/>
  <c r="CP24"/>
  <c r="CP94"/>
  <c r="CP42"/>
  <c r="CP279"/>
  <c r="CP137"/>
  <c r="CP328"/>
  <c r="CP218"/>
  <c r="CP142"/>
  <c r="CP11"/>
  <c r="CP55"/>
  <c r="CP191"/>
  <c r="CP41"/>
  <c r="CP327"/>
  <c r="CP25"/>
  <c r="CP56"/>
  <c r="CP240"/>
  <c r="CP46"/>
  <c r="CP134"/>
  <c r="CP252"/>
  <c r="CP51"/>
  <c r="CP13"/>
  <c r="CP230"/>
  <c r="CP257"/>
  <c r="CP286"/>
  <c r="CP15"/>
  <c r="CP119"/>
  <c r="CP285"/>
  <c r="CP102"/>
  <c r="CP212"/>
  <c r="CP54"/>
  <c r="CP267"/>
  <c r="CP251"/>
  <c r="CP288"/>
  <c r="CP317"/>
  <c r="CP239"/>
  <c r="CP61"/>
  <c r="CP303"/>
  <c r="CP156"/>
  <c r="CP237"/>
  <c r="CP100"/>
  <c r="CP91"/>
  <c r="CP333"/>
  <c r="CP297"/>
  <c r="CP178"/>
  <c r="CP23"/>
  <c r="CP69"/>
  <c r="CP53"/>
  <c r="CP124"/>
  <c r="CP57"/>
  <c r="CP292"/>
  <c r="CP238"/>
  <c r="CP258"/>
  <c r="CP277"/>
  <c r="CP16"/>
  <c r="CP144"/>
  <c r="CP207"/>
  <c r="CP247"/>
  <c r="CP47"/>
  <c r="CP50"/>
  <c r="CP321"/>
  <c r="CP227"/>
  <c r="CP275"/>
  <c r="CP87"/>
  <c r="CP62"/>
  <c r="CP228"/>
  <c r="CP260"/>
  <c r="CP269"/>
  <c r="CP120"/>
  <c r="CP329"/>
  <c r="CP132"/>
  <c r="CP274"/>
  <c r="CP201"/>
  <c r="CP92"/>
  <c r="CP182"/>
  <c r="CP99"/>
  <c r="CP231"/>
  <c r="CP3"/>
  <c r="CP216"/>
  <c r="CP234"/>
  <c r="CP307"/>
  <c r="CP256"/>
  <c r="CP138"/>
  <c r="CP195"/>
  <c r="CP64"/>
  <c r="CP219"/>
  <c r="CP265"/>
  <c r="CP291"/>
  <c r="CP268"/>
  <c r="CP171"/>
  <c r="CP157"/>
  <c r="CP166"/>
  <c r="CP180"/>
  <c r="CP199"/>
  <c r="CP184"/>
  <c r="CP163"/>
  <c r="CP176"/>
  <c r="CP250"/>
  <c r="CP236"/>
  <c r="CP152"/>
  <c r="CP305"/>
  <c r="CP168"/>
  <c r="CP135"/>
  <c r="CP155"/>
  <c r="CP189"/>
  <c r="CP71"/>
  <c r="CP185"/>
  <c r="CP68"/>
  <c r="CP241"/>
  <c r="CP213"/>
  <c r="CP28"/>
  <c r="CP105"/>
  <c r="CP322"/>
  <c r="CP82"/>
  <c r="CP246"/>
  <c r="CP315"/>
  <c r="CP198"/>
  <c r="CP214"/>
  <c r="CP59"/>
  <c r="CP109"/>
  <c r="CP80"/>
  <c r="CP125"/>
  <c r="CP188"/>
  <c r="CP298"/>
  <c r="CP5"/>
  <c r="CP318"/>
  <c r="CP324"/>
  <c r="CP181"/>
  <c r="CP52"/>
  <c r="CP284"/>
  <c r="CP17"/>
  <c r="CP133"/>
  <c r="CP294"/>
  <c r="CP183"/>
  <c r="CP136"/>
  <c r="CP248"/>
  <c r="CP108"/>
  <c r="CP76"/>
  <c r="CP32"/>
  <c r="CP209"/>
  <c r="CP72"/>
  <c r="CP78"/>
  <c r="CQ310" l="1"/>
  <c r="BY75"/>
  <c r="CJ147" l="1"/>
  <c r="CK147" s="1"/>
  <c r="CJ272"/>
  <c r="CJ220"/>
  <c r="CM220" s="1"/>
  <c r="CJ283"/>
  <c r="CJ141"/>
  <c r="CN141" s="1"/>
  <c r="CJ19"/>
  <c r="CJ223"/>
  <c r="CN223" s="1"/>
  <c r="CJ323"/>
  <c r="CJ311"/>
  <c r="CM311" s="1"/>
  <c r="CJ74"/>
  <c r="CJ151"/>
  <c r="CM151" s="1"/>
  <c r="CJ154"/>
  <c r="CJ140"/>
  <c r="CM140" s="1"/>
  <c r="CJ205"/>
  <c r="CJ75"/>
  <c r="CN75" s="1"/>
  <c r="CJ235"/>
  <c r="CO147" l="1"/>
  <c r="CM147"/>
  <c r="CM272"/>
  <c r="CN272"/>
  <c r="CO272"/>
  <c r="CK272"/>
  <c r="CN147"/>
  <c r="CM141"/>
  <c r="CK220"/>
  <c r="CO220"/>
  <c r="CN220"/>
  <c r="CO141"/>
  <c r="CM283"/>
  <c r="CK283"/>
  <c r="CN283"/>
  <c r="CO283"/>
  <c r="CO19"/>
  <c r="CK19"/>
  <c r="CM19"/>
  <c r="CN19"/>
  <c r="CK141"/>
  <c r="CM223"/>
  <c r="CO223"/>
  <c r="CK223"/>
  <c r="CM323"/>
  <c r="CK323"/>
  <c r="CN323"/>
  <c r="CO323"/>
  <c r="CK311"/>
  <c r="CO311"/>
  <c r="CN311"/>
  <c r="CM74"/>
  <c r="CK74"/>
  <c r="CN74"/>
  <c r="CO74"/>
  <c r="CO151"/>
  <c r="CK151"/>
  <c r="CN151"/>
  <c r="CM154"/>
  <c r="CK154"/>
  <c r="CN154"/>
  <c r="CO154"/>
  <c r="CO140"/>
  <c r="CN140"/>
  <c r="CK140"/>
  <c r="CO205"/>
  <c r="CM205"/>
  <c r="CN205"/>
  <c r="CK205"/>
  <c r="CM75"/>
  <c r="CO75"/>
  <c r="CK75"/>
  <c r="CO235"/>
  <c r="CM235"/>
  <c r="CN235"/>
  <c r="CK235"/>
  <c r="CP147" l="1"/>
  <c r="CP272"/>
  <c r="CP141"/>
  <c r="CP220"/>
  <c r="CP283"/>
  <c r="CP19"/>
  <c r="CP223"/>
  <c r="CP323"/>
  <c r="CP311"/>
  <c r="CP74"/>
  <c r="CP154"/>
  <c r="CP151"/>
  <c r="CP140"/>
  <c r="CP75"/>
  <c r="CP205"/>
  <c r="CP235"/>
  <c r="AR122" l="1"/>
  <c r="AR297"/>
  <c r="AT171" l="1"/>
  <c r="AS171"/>
  <c r="AR171"/>
  <c r="AQ171"/>
  <c r="AT116"/>
  <c r="AS116"/>
  <c r="AR116"/>
  <c r="AQ116"/>
  <c r="AS166"/>
  <c r="AR166"/>
  <c r="AQ166"/>
  <c r="AP133" l="1"/>
  <c r="AO133"/>
  <c r="AN133"/>
  <c r="AM133"/>
  <c r="AT17" l="1"/>
  <c r="AS17"/>
  <c r="AT71" l="1"/>
  <c r="AS71"/>
  <c r="AR71"/>
  <c r="AQ71"/>
  <c r="AP284" l="1"/>
  <c r="AO284"/>
  <c r="AN284"/>
  <c r="AM284"/>
  <c r="AT201" l="1"/>
  <c r="AS201"/>
  <c r="AR201"/>
  <c r="AQ201"/>
  <c r="AP289"/>
  <c r="AO289"/>
  <c r="AN289"/>
  <c r="AM289"/>
  <c r="AT245"/>
  <c r="AS245"/>
  <c r="AR245"/>
  <c r="AQ245"/>
  <c r="AT328"/>
  <c r="AS328"/>
  <c r="AR328"/>
  <c r="AQ328"/>
  <c r="AP38"/>
  <c r="AO38"/>
  <c r="AN38"/>
  <c r="AM38"/>
  <c r="AP182" l="1"/>
  <c r="AP181" s="1"/>
  <c r="AO182"/>
  <c r="AO181" s="1"/>
  <c r="AN182"/>
  <c r="AN181" s="1"/>
  <c r="AM182"/>
  <c r="AT233"/>
  <c r="AT232" s="1"/>
  <c r="AS233"/>
  <c r="AS232" s="1"/>
  <c r="AR233"/>
  <c r="AR232" s="1"/>
  <c r="AQ233"/>
  <c r="AQ232" s="1"/>
  <c r="AT299"/>
  <c r="AT24" s="1"/>
  <c r="AS299"/>
  <c r="AS24" s="1"/>
  <c r="AR299"/>
  <c r="AR24" s="1"/>
  <c r="AQ299"/>
  <c r="AQ24" s="1"/>
  <c r="AP225"/>
  <c r="AO225"/>
  <c r="AN225"/>
  <c r="AM225"/>
  <c r="AT167"/>
  <c r="AS167"/>
  <c r="AR167"/>
  <c r="AQ167"/>
  <c r="AT331"/>
  <c r="AS331"/>
  <c r="AR331"/>
  <c r="AQ331"/>
  <c r="AP143"/>
  <c r="AO143"/>
  <c r="AN143"/>
  <c r="AM143"/>
  <c r="AP204"/>
  <c r="AO204"/>
  <c r="AN204"/>
  <c r="AM204"/>
  <c r="AP291"/>
  <c r="AO291"/>
  <c r="AN291"/>
  <c r="AM291"/>
  <c r="AT228"/>
  <c r="AS228"/>
  <c r="AR228"/>
  <c r="AQ228"/>
  <c r="AM181" l="1"/>
  <c r="AT70" l="1"/>
  <c r="AS70"/>
  <c r="AR70"/>
  <c r="AQ70"/>
  <c r="AT56"/>
  <c r="AS56"/>
  <c r="AR56"/>
  <c r="AQ56"/>
  <c r="AT157"/>
  <c r="AS157"/>
  <c r="AP191"/>
  <c r="AO191"/>
  <c r="AN191"/>
  <c r="AM191"/>
  <c r="AP240"/>
  <c r="AO240"/>
  <c r="AN240"/>
  <c r="AM240"/>
  <c r="AP222"/>
  <c r="AO222"/>
  <c r="AN222"/>
  <c r="AM222"/>
  <c r="AP301"/>
  <c r="AO301"/>
  <c r="AN301"/>
  <c r="AM301"/>
  <c r="AT332"/>
  <c r="AS332"/>
  <c r="AR332"/>
  <c r="AQ332"/>
  <c r="AT50"/>
  <c r="AS50"/>
  <c r="AR50"/>
  <c r="AQ50"/>
  <c r="AS315"/>
  <c r="AS65"/>
  <c r="AR65"/>
  <c r="AT65"/>
  <c r="AQ65"/>
  <c r="AT315"/>
  <c r="AR315"/>
  <c r="AQ315"/>
  <c r="AT263"/>
  <c r="AS263"/>
  <c r="AR263"/>
  <c r="AQ263"/>
  <c r="AT257"/>
  <c r="AS257"/>
  <c r="AR257"/>
  <c r="AQ257"/>
  <c r="AT203"/>
  <c r="AS203"/>
  <c r="AR203"/>
  <c r="AQ203"/>
  <c r="AT251"/>
  <c r="AS251"/>
  <c r="AR251"/>
  <c r="AQ251"/>
  <c r="AT122"/>
  <c r="AS122"/>
  <c r="AQ122"/>
  <c r="AT297"/>
  <c r="AS297"/>
  <c r="AT319"/>
  <c r="AS319"/>
  <c r="AR319"/>
  <c r="AQ319"/>
  <c r="AT177" l="1"/>
  <c r="AS177"/>
  <c r="AR177"/>
  <c r="AQ177"/>
  <c r="AT209"/>
  <c r="AS209"/>
  <c r="AR209"/>
  <c r="AQ250"/>
  <c r="AQ209"/>
  <c r="AT250"/>
  <c r="AS250"/>
  <c r="AR250"/>
  <c r="AT164"/>
  <c r="AS164"/>
  <c r="AP164"/>
  <c r="AO164"/>
  <c r="AT312"/>
  <c r="AS312"/>
  <c r="AT109"/>
  <c r="AS109"/>
  <c r="AP109"/>
  <c r="AO109"/>
  <c r="AP83" l="1"/>
  <c r="AO83"/>
  <c r="AN83"/>
  <c r="AM83"/>
  <c r="AP45"/>
  <c r="AP224" s="1"/>
  <c r="AO45"/>
  <c r="AO224" s="1"/>
  <c r="AN45"/>
  <c r="AN224" s="1"/>
  <c r="AM45"/>
  <c r="AM224" s="1"/>
  <c r="AT104"/>
  <c r="AS104"/>
  <c r="AR104"/>
  <c r="AQ104"/>
  <c r="AT90"/>
  <c r="AT55" l="1"/>
  <c r="AS55"/>
  <c r="AR55"/>
  <c r="AQ55"/>
  <c r="AT64"/>
  <c r="AS64"/>
  <c r="AR64"/>
  <c r="AQ64"/>
  <c r="AP219"/>
  <c r="AO219"/>
  <c r="AN219"/>
  <c r="AM219"/>
  <c r="AT188"/>
  <c r="AS188"/>
  <c r="AR188"/>
  <c r="AQ188"/>
  <c r="AP40"/>
  <c r="AO40"/>
  <c r="AN40"/>
  <c r="AM40"/>
  <c r="AT77"/>
  <c r="AS77"/>
  <c r="AR77"/>
  <c r="AQ77"/>
  <c r="AP80"/>
  <c r="AO80"/>
  <c r="AN80"/>
  <c r="AM80"/>
  <c r="AT101"/>
  <c r="AS101"/>
  <c r="AR101"/>
  <c r="AQ101"/>
  <c r="AT138"/>
  <c r="AS138"/>
  <c r="AR138"/>
  <c r="AQ138"/>
  <c r="AQ215"/>
  <c r="AR215"/>
  <c r="AT215"/>
  <c r="AS215"/>
  <c r="AT333"/>
  <c r="AS333"/>
  <c r="AR333"/>
  <c r="AQ333"/>
  <c r="AT105"/>
  <c r="AS105"/>
  <c r="AR105"/>
  <c r="AQ105"/>
  <c r="AT198"/>
  <c r="AS198"/>
  <c r="AR198"/>
  <c r="AQ198"/>
  <c r="AT76"/>
  <c r="AS76"/>
  <c r="AR76"/>
  <c r="AQ76"/>
  <c r="AT107"/>
  <c r="AS107"/>
  <c r="AR107"/>
  <c r="AQ107"/>
  <c r="AT165" l="1"/>
  <c r="AS165"/>
  <c r="AR165"/>
  <c r="AQ165"/>
  <c r="AT69"/>
  <c r="AT58" s="1"/>
  <c r="AS69"/>
  <c r="AS58" s="1"/>
  <c r="AR69"/>
  <c r="AR58" s="1"/>
  <c r="AQ69"/>
  <c r="AQ58" s="1"/>
  <c r="AT97" l="1"/>
  <c r="AS97"/>
  <c r="AR97"/>
  <c r="AQ97"/>
  <c r="AP144"/>
  <c r="AO144"/>
  <c r="AN144"/>
  <c r="AM144"/>
  <c r="AT144"/>
  <c r="AS144"/>
  <c r="AR144"/>
  <c r="AQ144"/>
  <c r="AT112"/>
  <c r="AS112"/>
  <c r="AR112"/>
  <c r="AQ112"/>
  <c r="AT208"/>
  <c r="AS208"/>
  <c r="AR208"/>
  <c r="AQ208"/>
  <c r="AT260"/>
  <c r="AS260"/>
  <c r="AR260"/>
  <c r="AQ260"/>
  <c r="AT78"/>
  <c r="AS78"/>
</calcChain>
</file>

<file path=xl/comments1.xml><?xml version="1.0" encoding="utf-8"?>
<comments xmlns="http://schemas.openxmlformats.org/spreadsheetml/2006/main">
  <authors>
    <author>doma</author>
    <author xml:space="preserve"> Jerneja Kolšek</author>
    <author>Primož Krapež</author>
  </authors>
  <commentList>
    <comment ref="H2" authorId="0">
      <text>
        <r>
          <rPr>
            <b/>
            <sz val="9"/>
            <color indexed="81"/>
            <rFont val="Tahoma"/>
            <family val="2"/>
            <charset val="238"/>
          </rPr>
          <t>DA  - izdelan
X - v izdelavi</t>
        </r>
      </text>
    </comment>
    <comment ref="I2" authorId="0">
      <text>
        <r>
          <rPr>
            <b/>
            <sz val="9"/>
            <color indexed="81"/>
            <rFont val="Tahoma"/>
            <charset val="1"/>
          </rPr>
          <t>v sklopu prenove 2013 oziroma 2014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" authorId="0">
      <text>
        <r>
          <rPr>
            <b/>
            <sz val="9"/>
            <color indexed="81"/>
            <rFont val="Tahoma"/>
            <family val="2"/>
            <charset val="238"/>
          </rPr>
          <t>P ENERG  - podatki energetika
NP AN - ni podatka anketa
NEP AN - nepopolna anketa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sz val="9"/>
            <color indexed="81"/>
            <rFont val="Tahoma"/>
            <family val="2"/>
            <charset val="238"/>
          </rPr>
          <t>AN - anketa</t>
        </r>
      </text>
    </comment>
    <comment ref="M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DO - daljinsko ogrevanje
ZP - zemeljski plin v m3
ELKO - ekstra lahko kurilno olje
ELEK -električna energija
UNP - utekočinjeni naftni plin
</t>
        </r>
      </text>
    </comment>
    <comment ref="N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</text>
    </comment>
    <comment ref="O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</text>
    </comment>
    <comment ref="P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</text>
    </comment>
    <comment ref="Q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</text>
    </comment>
    <comment ref="R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</text>
    </comment>
    <comment ref="S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</text>
    </comment>
    <comment ref="T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</text>
    </comment>
    <comment ref="U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</text>
    </comment>
    <comment ref="V2" authorId="0">
      <text>
        <r>
          <rPr>
            <b/>
            <sz val="9"/>
            <color indexed="81"/>
            <rFont val="Tahoma"/>
            <family val="2"/>
            <charset val="238"/>
          </rPr>
          <t>kWh/m2 leto</t>
        </r>
      </text>
    </comment>
    <comment ref="W2" authorId="0">
      <text>
        <r>
          <rPr>
            <b/>
            <sz val="9"/>
            <color indexed="81"/>
            <rFont val="Tahoma"/>
            <family val="2"/>
            <charset val="238"/>
          </rPr>
          <t>kWh/m2 leto</t>
        </r>
      </text>
    </comment>
    <comment ref="X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</text>
    </comment>
    <comment ref="Y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</text>
    </comment>
    <comment ref="Z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</text>
    </comment>
    <comment ref="AA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</text>
    </comment>
    <comment ref="AB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</text>
    </comment>
    <comment ref="AC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</text>
    </comment>
    <comment ref="AD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</text>
    </comment>
    <comment ref="AE2" authorId="0">
      <text>
        <r>
          <rPr>
            <b/>
            <sz val="9"/>
            <color indexed="81"/>
            <rFont val="Tahoma"/>
            <family val="2"/>
            <charset val="238"/>
          </rPr>
          <t>kWh/m2 leto</t>
        </r>
      </text>
    </comment>
    <comment ref="AF2" authorId="0">
      <text>
        <r>
          <rPr>
            <b/>
            <sz val="9"/>
            <color indexed="81"/>
            <rFont val="Tahoma"/>
            <family val="2"/>
            <charset val="238"/>
          </rPr>
          <t>kW</t>
        </r>
      </text>
    </comment>
    <comment ref="AI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m2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M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N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O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P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Q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R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S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T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U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V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W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X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Y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Z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A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B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C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D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E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F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G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H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I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J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K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L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M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MWh/leto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N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kWh/m2 leto
</t>
        </r>
      </text>
    </comment>
    <comment ref="BO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kWh/m2 leto
</t>
        </r>
      </text>
    </comment>
    <comment ref="BP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kWh/m2 leto
</t>
        </r>
      </text>
    </comment>
    <comment ref="BQ2" authorId="0">
      <text>
        <r>
          <rPr>
            <b/>
            <sz val="9"/>
            <color indexed="81"/>
            <rFont val="Tahoma"/>
            <family val="2"/>
            <charset val="238"/>
          </rPr>
          <t>m2</t>
        </r>
      </text>
    </comment>
    <comment ref="BR2" authorId="0">
      <text>
        <r>
          <rPr>
            <b/>
            <sz val="9"/>
            <color indexed="81"/>
            <rFont val="Tahoma"/>
            <family val="2"/>
            <charset val="238"/>
          </rPr>
          <t>kW</t>
        </r>
      </text>
    </comment>
    <comment ref="AC37" authorId="1">
      <text>
        <r>
          <rPr>
            <b/>
            <sz val="10"/>
            <color indexed="81"/>
            <rFont val="Tahoma"/>
            <family val="2"/>
            <charset val="238"/>
          </rPr>
          <t xml:space="preserve"> Jerneja Kolšek:</t>
        </r>
        <r>
          <rPr>
            <sz val="10"/>
            <color indexed="81"/>
            <rFont val="Tahoma"/>
            <family val="2"/>
            <charset val="238"/>
          </rPr>
          <t xml:space="preserve">
2005: 99,27;
2006: 100,46;
2007: 84,83</t>
        </r>
      </text>
    </comment>
    <comment ref="I39" authorId="0">
      <text>
        <r>
          <rPr>
            <b/>
            <sz val="9"/>
            <color indexed="81"/>
            <rFont val="Tahoma"/>
            <family val="2"/>
            <charset val="238"/>
          </rPr>
          <t>monitoring prijavljen na razpisu ministrstva, razpisne dokumentacije za izbor izvajalca sanacije nimamo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40" authorId="0">
      <text>
        <r>
          <rPr>
            <b/>
            <sz val="9"/>
            <color indexed="81"/>
            <rFont val="Tahoma"/>
            <family val="2"/>
            <charset val="238"/>
          </rPr>
          <t>monitoring prijavljen na razpisu ministrstva, razpisne dokumentacije za izbor izvajalca sanacije nimamo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I40" authorId="0">
      <text>
        <r>
          <rPr>
            <sz val="9"/>
            <color indexed="81"/>
            <rFont val="Tahoma"/>
            <family val="2"/>
            <charset val="238"/>
          </rPr>
          <t>energetsko upravljanje: 18.000
radiatorji in termostatski ventili: 38.200
hidraulično uravnoteženje: 4.500
TČ - STV: ogled !
Ogrevanje sanitarne vode: 6.000
prenova razsvetljave: 23.000</t>
        </r>
      </text>
    </comment>
    <comment ref="A43" authorId="0">
      <text>
        <r>
          <rPr>
            <b/>
            <sz val="9"/>
            <color indexed="81"/>
            <rFont val="Tahoma"/>
            <charset val="1"/>
          </rPr>
          <t>ODDELEK ZA LOKALNO SAMOUPRAVO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70" authorId="0">
      <text>
        <r>
          <rPr>
            <sz val="9"/>
            <color indexed="81"/>
            <rFont val="Tahoma"/>
            <charset val="1"/>
          </rPr>
          <t xml:space="preserve">monitoring je bil ministrstvu  piijavljen  na razpis,  ni pa  bil razpisan
</t>
        </r>
      </text>
    </comment>
    <comment ref="CI70" authorId="0">
      <text>
        <r>
          <rPr>
            <sz val="9"/>
            <color indexed="81"/>
            <rFont val="Tahoma"/>
            <family val="2"/>
            <charset val="238"/>
          </rPr>
          <t>energetsko upravljanje: 12.000
termostatski ventili: 900
Prenova kotlovnice: 20.000
hidraulično uravnoteženje: 3.000
Zalogovnik TSV: ogled
Črpalke s fr. regulacijo: ogled
TČ - STV: ogled !
Toplotna izolacija cevododov: ogled
Prezračevanje kuhinje: ogled
Prenova razsvetljave: 3.000</t>
        </r>
      </text>
    </comment>
    <comment ref="I73" authorId="0">
      <text>
        <r>
          <rPr>
            <b/>
            <sz val="9"/>
            <color indexed="81"/>
            <rFont val="Tahoma"/>
            <family val="2"/>
            <charset val="238"/>
          </rPr>
          <t>monitoring prijavljen na razpisu ministrstva, razpisne dokumentacije za izbor izvajalca nimamo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I73" authorId="0">
      <text>
        <r>
          <rPr>
            <sz val="9"/>
            <color indexed="81"/>
            <rFont val="Tahoma"/>
            <family val="2"/>
            <charset val="238"/>
          </rPr>
          <t>energetsko upravljanje: 15.000
prenova toplotne postaje: 20.000
termostatski ventili: 2.550
hidraulično uravnoteženje: 5.000
TČ - STV: ogled !
Obtočne črpalke s fr. regulacijo: ogled
Prezračevanje kuhinje: ogled
prenova razsvetljave: 16.000</t>
        </r>
      </text>
    </comment>
    <comment ref="CI75" authorId="0">
      <text>
        <r>
          <rPr>
            <sz val="9"/>
            <color indexed="81"/>
            <rFont val="Tahoma"/>
            <family val="2"/>
            <charset val="238"/>
          </rPr>
          <t>energetsko upravljanje: 30.000, 6%OG  6%EE
sanacija ovoja: 192.700
toplotna črpalka v dvorani 35 kW in črpalke TSV: 25.000
termostatski ventili: 26.200
Regulacija: 5.500
Prenova klimatizacije z rekuperacijo: 65.000
Merilniki za ločitev porabe uporabnikov: 8.000
Zaščitna folija na dvigalu: 3.000
hidraulično uravnoteženje: 3.000
Prenova razsvetljave: 20.000</t>
        </r>
      </text>
    </comment>
    <comment ref="I89" authorId="0">
      <text>
        <r>
          <rPr>
            <b/>
            <sz val="9"/>
            <color indexed="81"/>
            <rFont val="Tahoma"/>
            <family val="2"/>
            <charset val="238"/>
          </rPr>
          <t>monitoring prijavljen na razpisu ministrstva, razpisne dokumentacije za izbor izvajalca sanacije nimamo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I89" authorId="0">
      <text>
        <r>
          <rPr>
            <sz val="9"/>
            <color indexed="81"/>
            <rFont val="Tahoma"/>
            <family val="2"/>
            <charset val="238"/>
          </rPr>
          <t>energetsko upravljanje: 18.000
termostatski ventili: 3.900
hidraulično uravnoteženje: 6.000
TČ - STV: ogled !
Prenova kotlovnice: 110.000
prenova razsvetljave: 30.000</t>
        </r>
      </text>
    </comment>
    <comment ref="T93" authorId="2">
      <text>
        <r>
          <rPr>
            <b/>
            <sz val="9"/>
            <color indexed="81"/>
            <rFont val="Tahoma"/>
            <family val="2"/>
            <charset val="238"/>
          </rPr>
          <t>Primož Krapež:</t>
        </r>
        <r>
          <rPr>
            <sz val="9"/>
            <color indexed="81"/>
            <rFont val="Tahoma"/>
            <family val="2"/>
            <charset val="238"/>
          </rPr>
          <t xml:space="preserve">
SKUPNO Z OGREVANJEM</t>
        </r>
      </text>
    </comment>
    <comment ref="I98" authorId="0">
      <text>
        <r>
          <rPr>
            <sz val="9"/>
            <color indexed="81"/>
            <rFont val="Tahoma"/>
            <charset val="1"/>
          </rPr>
          <t xml:space="preserve">monitoring je bil ministrstvu  piijavljen  na razpis,  ni pa  bil razpisan
</t>
        </r>
      </text>
    </comment>
    <comment ref="CI98" authorId="0">
      <text>
        <r>
          <rPr>
            <sz val="9"/>
            <color indexed="81"/>
            <rFont val="Tahoma"/>
            <family val="2"/>
            <charset val="238"/>
          </rPr>
          <t>energetsko upravljanje: 17.000
termostatski ventili: 1.050
Prenova toplotne podpostaje: 6.000
KOTLOVNICA OŠ Maksa Pečarja ELKO !!!
hidraulično uravnoteženje: 3.000
Zalogovnik TSV: ogled
Črpalke s fr. regulacijo: ogled
TČ - STV: ogled !
Toplotna izolacija cevododov: ogled
Prezračevanje kuhinje: ogled
Prenova razsvetljave: 5.400</t>
        </r>
      </text>
    </comment>
    <comment ref="I116" authorId="0">
      <text>
        <r>
          <rPr>
            <sz val="9"/>
            <color indexed="81"/>
            <rFont val="Tahoma"/>
            <charset val="1"/>
          </rPr>
          <t xml:space="preserve">monitoring ni piijavljen na razpisu ministrstva, razpisne dokumentacije za izbor izvajalca nimamo
</t>
        </r>
      </text>
    </comment>
    <comment ref="A123" authorId="0">
      <text>
        <r>
          <rPr>
            <b/>
            <sz val="9"/>
            <color indexed="81"/>
            <rFont val="Tahoma"/>
            <charset val="1"/>
          </rPr>
          <t>RUŠENJE !</t>
        </r>
      </text>
    </comment>
    <comment ref="I123" authorId="0">
      <text>
        <r>
          <rPr>
            <b/>
            <sz val="9"/>
            <color indexed="81"/>
            <rFont val="Tahoma"/>
            <family val="2"/>
            <charset val="238"/>
          </rPr>
          <t>razpisne dokumentacije za izbor izvajalca sanacije nimamo, niti energetskega pregleda in prijave na razpis ministrstva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I123" authorId="0">
      <text>
        <r>
          <rPr>
            <sz val="9"/>
            <color indexed="81"/>
            <rFont val="Tahoma"/>
            <family val="2"/>
            <charset val="238"/>
          </rPr>
          <t xml:space="preserve">Ostalo: ogled
</t>
        </r>
      </text>
    </comment>
    <comment ref="T137" authorId="2">
      <text>
        <r>
          <rPr>
            <b/>
            <sz val="9"/>
            <color indexed="81"/>
            <rFont val="Tahoma"/>
            <family val="2"/>
            <charset val="238"/>
          </rPr>
          <t>Primož Krapež:</t>
        </r>
        <r>
          <rPr>
            <sz val="9"/>
            <color indexed="81"/>
            <rFont val="Tahoma"/>
            <family val="2"/>
            <charset val="238"/>
          </rPr>
          <t xml:space="preserve">
SKUPNO Z OGREVANJEM</t>
        </r>
      </text>
    </comment>
    <comment ref="I167" authorId="0">
      <text>
        <r>
          <rPr>
            <sz val="9"/>
            <color indexed="81"/>
            <rFont val="Tahoma"/>
            <charset val="1"/>
          </rPr>
          <t xml:space="preserve">monitoring je bil ministrstvu  piijavljen  na razpis,  ni pa  bil razpisan
</t>
        </r>
      </text>
    </comment>
    <comment ref="CI167" authorId="0">
      <text>
        <r>
          <rPr>
            <sz val="9"/>
            <color indexed="81"/>
            <rFont val="Tahoma"/>
            <family val="2"/>
            <charset val="238"/>
          </rPr>
          <t>energetsko upravljanje: 15.000
termostatski ventili: 1.800
Prenova toplotne podpostaje: 8.000
hidraulično uravnoteženje: 3.000
Zalogovnik TSV: ogled
Črpalke s fr. regulacijo: ogled
TČ - STV: ogled !
Prezračevanje kuhinje: ogled
Prenova razsvetljave: 18.000</t>
        </r>
      </text>
    </comment>
    <comment ref="I175" authorId="0">
      <text>
        <r>
          <rPr>
            <sz val="9"/>
            <color indexed="81"/>
            <rFont val="Tahoma"/>
            <charset val="1"/>
          </rPr>
          <t xml:space="preserve">monitoring je bil ministrstvu  piijavljen  na razpis,  ni pa  bil razpisan
</t>
        </r>
      </text>
    </comment>
    <comment ref="I194" authorId="0">
      <text>
        <r>
          <rPr>
            <sz val="9"/>
            <color indexed="81"/>
            <rFont val="Tahoma"/>
            <charset val="1"/>
          </rPr>
          <t xml:space="preserve">monitoring ni piijavljen niti ni bil razpisan
</t>
        </r>
      </text>
    </comment>
    <comment ref="CI194" authorId="0">
      <text>
        <r>
          <rPr>
            <sz val="9"/>
            <color indexed="81"/>
            <rFont val="Tahoma"/>
            <family val="2"/>
            <charset val="238"/>
          </rPr>
          <t>energetsko upravljanje: 15.000
termostatski ventili: 1.050
Zalogovnik TSV: ogled
Črpalke s fr. regulacijo: ogled
TČ - STV: ogled !
Prenova razsvetljave: 9.000</t>
        </r>
      </text>
    </comment>
    <comment ref="I200" authorId="0">
      <text>
        <r>
          <rPr>
            <b/>
            <sz val="9"/>
            <color indexed="81"/>
            <rFont val="Tahoma"/>
            <family val="2"/>
            <charset val="238"/>
          </rPr>
          <t>razpisne dokumentacije za izbor izvajalca sanacije nimamo, niti energetskega pregleda in prijave na razpis ministrstva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I200" authorId="0">
      <text>
        <r>
          <rPr>
            <sz val="9"/>
            <color indexed="81"/>
            <rFont val="Tahoma"/>
            <family val="2"/>
            <charset val="238"/>
          </rPr>
          <t>energetsko upravljanje: 18.000
ostalo: ogled</t>
        </r>
      </text>
    </comment>
    <comment ref="I202" authorId="0">
      <text>
        <r>
          <rPr>
            <b/>
            <sz val="9"/>
            <color indexed="81"/>
            <rFont val="Tahoma"/>
            <family val="2"/>
            <charset val="238"/>
          </rPr>
          <t>razpisne dokumentacije za izbor izvajalca sanacije nimamo, niti energetskega pregleda in prijave na razpis ministrstva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I202" authorId="0">
      <text>
        <r>
          <rPr>
            <sz val="9"/>
            <color indexed="81"/>
            <rFont val="Tahoma"/>
            <family val="2"/>
            <charset val="238"/>
          </rPr>
          <t>energetsko upravljanje: 18.000
ostalo: ogled</t>
        </r>
      </text>
    </comment>
    <comment ref="T205" authorId="2">
      <text>
        <r>
          <rPr>
            <b/>
            <sz val="9"/>
            <color indexed="81"/>
            <rFont val="Tahoma"/>
            <family val="2"/>
            <charset val="238"/>
          </rPr>
          <t>Primož Krapež:</t>
        </r>
        <r>
          <rPr>
            <sz val="9"/>
            <color indexed="81"/>
            <rFont val="Tahoma"/>
            <family val="2"/>
            <charset val="238"/>
          </rPr>
          <t xml:space="preserve">
SKUPNO Z OGREVANJEM</t>
        </r>
      </text>
    </comment>
    <comment ref="I254" authorId="0">
      <text>
        <r>
          <rPr>
            <b/>
            <sz val="9"/>
            <color indexed="81"/>
            <rFont val="Tahoma"/>
            <charset val="1"/>
          </rPr>
          <t>monitoring prijavljen na razpis ministrstva, razpisana oprema ponudnika Schneider</t>
        </r>
      </text>
    </comment>
    <comment ref="CI254" authorId="0">
      <text>
        <r>
          <rPr>
            <sz val="9"/>
            <color indexed="81"/>
            <rFont val="Tahoma"/>
            <family val="2"/>
            <charset val="238"/>
          </rPr>
          <t xml:space="preserve">energetsko upravljanje: 18.000
Priprava TSV: ogled
časovni senzorji razsvetljava: ogled
prezračevanje kuhinje: ogled
Uravljanje v sklopu razpisa MOL april 2014
oprema Schneider Electric !!!
</t>
        </r>
      </text>
    </comment>
    <comment ref="I293" authorId="0">
      <text>
        <r>
          <rPr>
            <b/>
            <sz val="9"/>
            <color indexed="81"/>
            <rFont val="Tahoma"/>
            <charset val="1"/>
          </rPr>
          <t>monitoring prijavljen na razpis ministrstva, razpisana oprema ponudnika Schneider</t>
        </r>
      </text>
    </comment>
    <comment ref="CI293" authorId="0">
      <text>
        <r>
          <rPr>
            <sz val="9"/>
            <color indexed="81"/>
            <rFont val="Tahoma"/>
            <family val="2"/>
            <charset val="238"/>
          </rPr>
          <t xml:space="preserve">energetsko upravljanje: 20.000
v sklopu razpisa MOL april 2014
oprema Schneider Electric !!!
</t>
        </r>
      </text>
    </comment>
    <comment ref="I301" authorId="0">
      <text>
        <r>
          <rPr>
            <b/>
            <sz val="9"/>
            <color indexed="81"/>
            <rFont val="Tahoma"/>
            <family val="2"/>
            <charset val="238"/>
          </rPr>
          <t>monitoring prijavljen na razpisu ministrstva, razpisne dokumentacije za izbor izvajalca sanacije nimamo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I301" authorId="0">
      <text>
        <r>
          <rPr>
            <sz val="9"/>
            <color indexed="81"/>
            <rFont val="Tahoma"/>
            <family val="2"/>
            <charset val="238"/>
          </rPr>
          <t>energetsko upravljanje: 13.000
termostatski ventili: 1.950
Prenova toplotne postaje: 20.000
hidraulično uravnoteženje: 5000
TČ - STV: ogled !
Toplotna izolacija cevododov: ogled
Prezračevanje kuhinje: ogled
prenova razsvetljave: 9.000</t>
        </r>
      </text>
    </comment>
    <comment ref="I330" authorId="0">
      <text>
        <r>
          <rPr>
            <sz val="9"/>
            <color indexed="81"/>
            <rFont val="Tahoma"/>
            <charset val="1"/>
          </rPr>
          <t xml:space="preserve">monitoring je bil ministrstvu  piijavljen  na razpis,  ni pa  bil razpisan
</t>
        </r>
      </text>
    </comment>
    <comment ref="I331" authorId="0">
      <text>
        <r>
          <rPr>
            <b/>
            <sz val="9"/>
            <color indexed="81"/>
            <rFont val="Tahoma"/>
            <family val="2"/>
            <charset val="238"/>
          </rPr>
          <t>monitoring prijavljen na razpisu ministrstva, razpisne dokumentacije za izbor izvajalca sanacije nimamo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I331" authorId="0">
      <text>
        <r>
          <rPr>
            <sz val="9"/>
            <color indexed="81"/>
            <rFont val="Tahoma"/>
            <family val="2"/>
            <charset val="238"/>
          </rPr>
          <t>energetsko upravljanje: 13.000
termostatski ventili: 3.000
hidraulično uravnoteženje: ogled
TČ - STV: ogled !
Toplotna izolacija cevododov: ogled
Prezračevanje kuhinje: ogled
prenova razsvetljave: 16.000</t>
        </r>
      </text>
    </comment>
  </commentList>
</comments>
</file>

<file path=xl/sharedStrings.xml><?xml version="1.0" encoding="utf-8"?>
<sst xmlns="http://schemas.openxmlformats.org/spreadsheetml/2006/main" count="3194" uniqueCount="1449">
  <si>
    <t>Energent</t>
  </si>
  <si>
    <t xml:space="preserve">Moč kotla </t>
  </si>
  <si>
    <t>Leto izdelave</t>
  </si>
  <si>
    <t>Opomba</t>
  </si>
  <si>
    <t>Priprava STV</t>
  </si>
  <si>
    <t>DO</t>
  </si>
  <si>
    <t>ZP</t>
  </si>
  <si>
    <t>ELKO</t>
  </si>
  <si>
    <t>UNP</t>
  </si>
  <si>
    <t>delež %</t>
  </si>
  <si>
    <t>Lekarna Bavarski dvor</t>
  </si>
  <si>
    <t>Slovenska 55</t>
  </si>
  <si>
    <t>?/2005</t>
  </si>
  <si>
    <t>v sklopu stanovanjskega bloka</t>
  </si>
  <si>
    <t>5x el. bojler</t>
  </si>
  <si>
    <t>Lekarna Bežigrad</t>
  </si>
  <si>
    <t>Dunajska 23</t>
  </si>
  <si>
    <t>?/2001</t>
  </si>
  <si>
    <t>1x el. bojler</t>
  </si>
  <si>
    <t>Lekarna Bežigrajski dvor</t>
  </si>
  <si>
    <t>Kržičeva 9</t>
  </si>
  <si>
    <t>?/2000</t>
  </si>
  <si>
    <t>Lekarna Brdo</t>
  </si>
  <si>
    <t>Cesta na Brdo 63</t>
  </si>
  <si>
    <t>?/2003</t>
  </si>
  <si>
    <t>etažno ogrevanje</t>
  </si>
  <si>
    <t>celo leto iz kotlovnice</t>
  </si>
  <si>
    <t>Centralna lekarna</t>
  </si>
  <si>
    <t>Prešernov trg 5</t>
  </si>
  <si>
    <t>?/2004</t>
  </si>
  <si>
    <t>v okviru IVZ</t>
  </si>
  <si>
    <t>Lekarna Citipark</t>
  </si>
  <si>
    <t>Šmartinska c. 152 G</t>
  </si>
  <si>
    <t>Lekarna Črnuče</t>
  </si>
  <si>
    <t>Primožičeva 2</t>
  </si>
  <si>
    <t>v sklopu ZD Črnuče</t>
  </si>
  <si>
    <t>Lekarna Fužine</t>
  </si>
  <si>
    <t>Preglov trg 34</t>
  </si>
  <si>
    <t>?/2008</t>
  </si>
  <si>
    <t>v sklopu ZD Fužine</t>
  </si>
  <si>
    <t>Lekarna Levstik</t>
  </si>
  <si>
    <t>Levstikov trg 9</t>
  </si>
  <si>
    <t>Lekarna Metelkova</t>
  </si>
  <si>
    <t>Metelkova 9</t>
  </si>
  <si>
    <t>?/1999</t>
  </si>
  <si>
    <t>v sklopu ZD Center</t>
  </si>
  <si>
    <t>Lekarna Miklošič</t>
  </si>
  <si>
    <t>Miklošičeva 24</t>
  </si>
  <si>
    <t>?/1996</t>
  </si>
  <si>
    <t>v okviru ZZZS</t>
  </si>
  <si>
    <t>Lekarna Mirje</t>
  </si>
  <si>
    <t>Trg MDB 2</t>
  </si>
  <si>
    <t>Lekarna Moste</t>
  </si>
  <si>
    <t>Rojčeva 22</t>
  </si>
  <si>
    <t>v okviru kompleksa</t>
  </si>
  <si>
    <t>Lekarna Nove Jarše</t>
  </si>
  <si>
    <t>Kvedrova 20</t>
  </si>
  <si>
    <t>v sklopu ZD Jarše</t>
  </si>
  <si>
    <t>Lekarna Polje</t>
  </si>
  <si>
    <t>Cesta 30. Avgusta 2</t>
  </si>
  <si>
    <t>?/1993</t>
  </si>
  <si>
    <t>v sklopu ZD Polje</t>
  </si>
  <si>
    <t>Lekarna Rakovnik</t>
  </si>
  <si>
    <t>Dolenjska 43</t>
  </si>
  <si>
    <t>?/1986</t>
  </si>
  <si>
    <t>Lekarna Supernova</t>
  </si>
  <si>
    <t>Jurčkova c. 223</t>
  </si>
  <si>
    <t>Lekarna Šentvid</t>
  </si>
  <si>
    <t>Prušnikova 45</t>
  </si>
  <si>
    <t>?/2006</t>
  </si>
  <si>
    <t>prostori v okviru bloka</t>
  </si>
  <si>
    <t>Lekarna pri šišenski knjižnici</t>
  </si>
  <si>
    <t>Trg komandanta Staneta 8</t>
  </si>
  <si>
    <t>Lekarna Šiška</t>
  </si>
  <si>
    <t>Celovška 83</t>
  </si>
  <si>
    <t>3x el. bojler</t>
  </si>
  <si>
    <t>Lek.podružnica Koseze</t>
  </si>
  <si>
    <t>Ulica Bratov Učakar 58</t>
  </si>
  <si>
    <t>Lekarna Vič</t>
  </si>
  <si>
    <t>Šestova  ulica 10</t>
  </si>
  <si>
    <t>?/2009</t>
  </si>
  <si>
    <t>v sklopu ZD Vič</t>
  </si>
  <si>
    <t>Galenski laboratorij</t>
  </si>
  <si>
    <t>Tbilisijska 87</t>
  </si>
  <si>
    <t>1995/2004</t>
  </si>
  <si>
    <t>centralna kurilna naprava za stavbo (lastna kotlovnica)</t>
  </si>
  <si>
    <t>LEKARNA LJUBLJANA, UPRAVA ZAVODA</t>
  </si>
  <si>
    <t>Komenskega 11</t>
  </si>
  <si>
    <t>?</t>
  </si>
  <si>
    <t>2xel. bojler</t>
  </si>
  <si>
    <t>Kržičeva cesta 10</t>
  </si>
  <si>
    <t>1963/2007</t>
  </si>
  <si>
    <t>dobavitelje daljinske toplote: Energetika Ljubljana</t>
  </si>
  <si>
    <t>daljinsko (ločeno odjemno mesto)</t>
  </si>
  <si>
    <t>1982/2003</t>
  </si>
  <si>
    <t>iz kotlovnice celo leto</t>
  </si>
  <si>
    <t xml:space="preserve">ZD Ljubljana - Bežigrad </t>
  </si>
  <si>
    <t>Mislejeva ulica 3</t>
  </si>
  <si>
    <t>Metelkova ulica 9</t>
  </si>
  <si>
    <t>1983/2008</t>
  </si>
  <si>
    <t xml:space="preserve">Kotnikova ulica 36 </t>
  </si>
  <si>
    <t>TP1: 19,75 kW (100%)            TP2: 29,33 kW (43%)</t>
  </si>
  <si>
    <t>Aškerčeva  4</t>
  </si>
  <si>
    <t>Prvomajska ulica 5</t>
  </si>
  <si>
    <t>Cesta 30. avgusta 2</t>
  </si>
  <si>
    <t>1964/2009</t>
  </si>
  <si>
    <t>1973/1992</t>
  </si>
  <si>
    <t>Preglov trg 4</t>
  </si>
  <si>
    <t>1988/2006</t>
  </si>
  <si>
    <t>ZD Ljubljana -  Vič - Rudnik</t>
  </si>
  <si>
    <t>Šestova ulica 10</t>
  </si>
  <si>
    <t>1960/2007</t>
  </si>
  <si>
    <t>Rakovniška 4</t>
  </si>
  <si>
    <t>1965/2004</t>
  </si>
  <si>
    <t>Derčeva ulica 5</t>
  </si>
  <si>
    <t>1979/2009</t>
  </si>
  <si>
    <t>Ob zdravstvenem domu 1</t>
  </si>
  <si>
    <t xml:space="preserve">Mestna knjižnica Ljubljana/Knjižnica Bežigrad </t>
  </si>
  <si>
    <t>Einspielerjeva ulica 1</t>
  </si>
  <si>
    <t>centralno</t>
  </si>
  <si>
    <t>iz kotlovnice</t>
  </si>
  <si>
    <t>MKL Ljubljana/Knjižnica Bežigrad - Enota Glinškova ploščad</t>
  </si>
  <si>
    <t>Glinškova ploščad 11 a</t>
  </si>
  <si>
    <t>TP skupaj z vrtcem</t>
  </si>
  <si>
    <t>MKL Ljubljana/Knjižnica Bežigrad - Enota Savsko naselje</t>
  </si>
  <si>
    <t>Belokranjska ulica 2</t>
  </si>
  <si>
    <t>skupno z društvom ŠENT</t>
  </si>
  <si>
    <t>el. bojler</t>
  </si>
  <si>
    <t xml:space="preserve">MKL Ljubljana/Knjižnica Bežigrad - Enota dr. Franceta Škerla </t>
  </si>
  <si>
    <t>Vojkova cesta 87a</t>
  </si>
  <si>
    <t>TP v stanovanjskem bloku</t>
  </si>
  <si>
    <t>MKL Ljubljana/Knjižnica Bežigrad - Enota Črnuče</t>
  </si>
  <si>
    <t>Dunajska cesta 367</t>
  </si>
  <si>
    <t>skupno s četrtno skupnostjo in dvorano</t>
  </si>
  <si>
    <t>MKL Ljubljana/Knjižnica Jožeta Mazovca</t>
  </si>
  <si>
    <t>Zaloška cesta 61</t>
  </si>
  <si>
    <t>lokalno</t>
  </si>
  <si>
    <t>Preglov trg 15</t>
  </si>
  <si>
    <t>MKL Ljubljana/Knjižnica Jožeta Mazovca - Enota Polje</t>
  </si>
  <si>
    <t>MKL Ljubljana/Knjižnica Jožeta Mazovca - Enota Zalog</t>
  </si>
  <si>
    <t>Zaloška cesta 220</t>
  </si>
  <si>
    <t>etažno</t>
  </si>
  <si>
    <t>plinski pretočni bojler</t>
  </si>
  <si>
    <t>MKL Ljubljana/Knjižnica Jožeta Mazovca - Enota Jarše</t>
  </si>
  <si>
    <t>Clevelandska ulica 17 -19</t>
  </si>
  <si>
    <t>Mestna knjižnica Ljubljana Knjižnica Otona Župančiča</t>
  </si>
  <si>
    <t>Kersnikova  ulica 2</t>
  </si>
  <si>
    <t>MKL Ljubljana/Knjižnica Otona Župančiča - Enota Poljane</t>
  </si>
  <si>
    <t>Zarnikova ulica 3</t>
  </si>
  <si>
    <t>MKL Ljubljana/  Enota Knjižnice Otona Župančiča -Enota Nove Poljane</t>
  </si>
  <si>
    <t>Povšetova ulica 37</t>
  </si>
  <si>
    <t>MKL Ljubljana/Knjižnica Otona Župančiča - Enota Kolodvor</t>
  </si>
  <si>
    <t>Trg osvobodilne fronte 10</t>
  </si>
  <si>
    <t xml:space="preserve">MKL Ljubljana/Knjižnica Prežihov Voranc </t>
  </si>
  <si>
    <t>Tržaška cesta 47/a</t>
  </si>
  <si>
    <t>50 kW</t>
  </si>
  <si>
    <t>el. bojler (5×2000 W)</t>
  </si>
  <si>
    <t xml:space="preserve">MKL Ljubljana/Knjižnica Prežihov Voranc - Enota Brdo </t>
  </si>
  <si>
    <t>Brdnikova ulica 14</t>
  </si>
  <si>
    <t>el. bojler (1500 W)</t>
  </si>
  <si>
    <t>MKL Ljubljana/Knjižnica Prežihov Voranc - Enota Rudnik</t>
  </si>
  <si>
    <t>Dolenjska cesta 11</t>
  </si>
  <si>
    <t>MKL Ljubljana/Knjižnica Prežihov Voranc - Enota Grba</t>
  </si>
  <si>
    <t>Trg Komandanta Staneta 8</t>
  </si>
  <si>
    <t>2007/</t>
  </si>
  <si>
    <t>Prušnikova ulica 106</t>
  </si>
  <si>
    <t>Srednje Gameljne 50</t>
  </si>
  <si>
    <t>Mestno gledališče ljubljansko</t>
  </si>
  <si>
    <t>Čopova ulica 14</t>
  </si>
  <si>
    <t>1938/2002</t>
  </si>
  <si>
    <t>Zavod EN Knap</t>
  </si>
  <si>
    <t>Lutkovno gledališče Ljubljana</t>
  </si>
  <si>
    <t>Krekov trg 2</t>
  </si>
  <si>
    <t>TP1: 541,24 kW; TP2: 75,53 kW; TP3: 138,45 kW</t>
  </si>
  <si>
    <t>dobavitelj: energetika LJ, gledališče ima tudi sistem za hlajenje (centralni+lokalni; skupna el. moč: 12 kW</t>
  </si>
  <si>
    <t>Slovensko mladinsko gledališče</t>
  </si>
  <si>
    <t>Vilharjeva cesta 11</t>
  </si>
  <si>
    <t>el.bojler (1x 200l, 2x50l)</t>
  </si>
  <si>
    <t>Pionirski dom - Center za kulturo mladih</t>
  </si>
  <si>
    <t>zavzemajo 30% delež objekta</t>
  </si>
  <si>
    <t>Pionirski dom - Center za kulturo mladih (art center)</t>
  </si>
  <si>
    <t>Komenskega ulica 9</t>
  </si>
  <si>
    <t>edini uporabnik objekta</t>
  </si>
  <si>
    <t>Pionirski dom - Center za kulturo mladih (plesni center jenko)</t>
  </si>
  <si>
    <t>Miklošičeva 28</t>
  </si>
  <si>
    <t>Prostori zavzemajo le 8% delež objekta (180m2).</t>
  </si>
  <si>
    <t>Mestni muzej Ljubljana</t>
  </si>
  <si>
    <t>Gosposka ulica 15</t>
  </si>
  <si>
    <t>TP1: 214kW</t>
  </si>
  <si>
    <t>el. bojlerji</t>
  </si>
  <si>
    <t>Ščit - konzervatorsko središče</t>
  </si>
  <si>
    <t>Gregorčičeva ulica 3 a</t>
  </si>
  <si>
    <t>TP1: 77kW</t>
  </si>
  <si>
    <t>lokalo split</t>
  </si>
  <si>
    <t>preko TP</t>
  </si>
  <si>
    <t>Emonska hiša</t>
  </si>
  <si>
    <t>Mirje 4</t>
  </si>
  <si>
    <t xml:space="preserve">Arhitekturni muzej Ljubljana </t>
  </si>
  <si>
    <t>Pot na Fužine 2</t>
  </si>
  <si>
    <t>TP1: 0,222410 kW; TP2: 0,066980 kW</t>
  </si>
  <si>
    <t>1557/1994</t>
  </si>
  <si>
    <t>dobavitelj: Energetika LJ</t>
  </si>
  <si>
    <t>ni priprave sanitarne vode</t>
  </si>
  <si>
    <t>1928/1997</t>
  </si>
  <si>
    <t>Karunova ulica 6</t>
  </si>
  <si>
    <t>1925/2001</t>
  </si>
  <si>
    <t>Mestna galerija Ljubljana</t>
  </si>
  <si>
    <t>Mestni trg 5</t>
  </si>
  <si>
    <t>TP1: 0.113MW</t>
  </si>
  <si>
    <t>el. bojler (2×1.5kW)</t>
  </si>
  <si>
    <t>Mestni trg 1?</t>
  </si>
  <si>
    <t>ogrevanje na termoak. peči</t>
  </si>
  <si>
    <t>el. bojler (1×1.2kW)</t>
  </si>
  <si>
    <t>Cankarjevo nabrežje 11</t>
  </si>
  <si>
    <t>Bežigrajska galerija II</t>
  </si>
  <si>
    <t>Vodovodna cesta 3 in 3a</t>
  </si>
  <si>
    <t>TP1: 0,046MW</t>
  </si>
  <si>
    <t>Bežigrajska galerija</t>
  </si>
  <si>
    <t>Dunajska cesta 31</t>
  </si>
  <si>
    <t>el.peči</t>
  </si>
  <si>
    <t>Mednarodni grafični likovni center Ljubljana</t>
  </si>
  <si>
    <t>Pod turnom 3</t>
  </si>
  <si>
    <t>Festival Ljubljana</t>
  </si>
  <si>
    <t>Trg francoske revolucije 1-2</t>
  </si>
  <si>
    <t>16../1957</t>
  </si>
  <si>
    <t>el. bojler (2×1kW)</t>
  </si>
  <si>
    <t>Galerija Vžigalica</t>
  </si>
  <si>
    <t>Trg francoske revolucije 7</t>
  </si>
  <si>
    <t>Koseskega ulica 11</t>
  </si>
  <si>
    <t>el. bojler (3×1.5kW)</t>
  </si>
  <si>
    <t>Ljubljanski grad, Grajska planota 1</t>
  </si>
  <si>
    <t>16../1968</t>
  </si>
  <si>
    <t>Center urbane kulture - Kino Šiška</t>
  </si>
  <si>
    <t>Trg prekomorskih brigad 3</t>
  </si>
  <si>
    <t>Kinodvor / javni zavod KINODVOR</t>
  </si>
  <si>
    <t>Kolodvorska ulica 13</t>
  </si>
  <si>
    <t>Jakopičeva galerija Mestni muzej Ljubljana</t>
  </si>
  <si>
    <t>Slovenska cesta 9</t>
  </si>
  <si>
    <t>Gledališče Glej</t>
  </si>
  <si>
    <t>Gregorčičeva ulica 3</t>
  </si>
  <si>
    <t>TP+EL</t>
  </si>
  <si>
    <t>Bivša podružnična šola Šentjakob / MASKA, Zavod za založniško, kulturno in producentsko dejavnost</t>
  </si>
  <si>
    <t>Zajčeva pot 34, Šentjakob</t>
  </si>
  <si>
    <t>1905/2002</t>
  </si>
  <si>
    <t>MESTNA OBČINA LJUBLJANA</t>
  </si>
  <si>
    <t>Mestni trg 1</t>
  </si>
  <si>
    <t>MESTNA UPRAVA</t>
  </si>
  <si>
    <t>Adamič - Lundrovo nabrežje 2</t>
  </si>
  <si>
    <t>SLUŽBA ZA LOKALNO SAMOUPRAVO</t>
  </si>
  <si>
    <t>Ambrožev trg 5-7</t>
  </si>
  <si>
    <t>lokalno z več el. grelci</t>
  </si>
  <si>
    <t>Kolodvorska 6</t>
  </si>
  <si>
    <t>Trubarjeva 24</t>
  </si>
  <si>
    <t>Rozmanova 12</t>
  </si>
  <si>
    <t>Grablovičeva 28</t>
  </si>
  <si>
    <t>Prijatelejva 2</t>
  </si>
  <si>
    <t>Štefanova 11</t>
  </si>
  <si>
    <t>ODDELEK ZA FINANCE IN RAČUNOVODSTVO</t>
  </si>
  <si>
    <t>Dalmatinova ulica 1</t>
  </si>
  <si>
    <t>ODDELEK ZA PREDŠOLSKO VZGOJO IN IZOBRAŽEVANJE</t>
  </si>
  <si>
    <t>Resljeva cesta 18</t>
  </si>
  <si>
    <t>ODDELEK ZA ZDRAVJE IN SOCIALNO VARSTVO</t>
  </si>
  <si>
    <t>Cigaletova 5</t>
  </si>
  <si>
    <t>Streliška ulica 14</t>
  </si>
  <si>
    <t>Trg mladinskih delov. brigad 7</t>
  </si>
  <si>
    <t>Poljanska cesta 28</t>
  </si>
  <si>
    <t>Proletarska cesta 1</t>
  </si>
  <si>
    <t>NADZORNI ODBOR</t>
  </si>
  <si>
    <t>Kersnikova ulica 5</t>
  </si>
  <si>
    <t>ČETRTNA SKUPNOST BEŽIGRAD</t>
  </si>
  <si>
    <t>Vojkova cesta 1</t>
  </si>
  <si>
    <t>ČETRTNA SKUPNOST CENTER</t>
  </si>
  <si>
    <t>Štefanova ulica 9</t>
  </si>
  <si>
    <t>151 kW</t>
  </si>
  <si>
    <t>1949/2001</t>
  </si>
  <si>
    <t>V sklopu kulturnega doma Črnuče (najbrž tudi og. Površina in poraba zapisana za cel objekt?).</t>
  </si>
  <si>
    <t>ČETRTNA SKUPNOST DRAVLJE</t>
  </si>
  <si>
    <t>Draveljska ulica 44</t>
  </si>
  <si>
    <t>2 kotla po 75 kW</t>
  </si>
  <si>
    <t>el. bojler: 5/2kW, 230V</t>
  </si>
  <si>
    <t>ČETRTNA SKUPNOST GOLOVEC</t>
  </si>
  <si>
    <t>Litijska cesta 38</t>
  </si>
  <si>
    <t>ČETRTNA SKUPNOST JARŠE - Kvedrova</t>
  </si>
  <si>
    <t>Kvedrova cesta 32</t>
  </si>
  <si>
    <t>ČETRTNA SKUPNOST JARŠE - Ulica Hermana Potočnika</t>
  </si>
  <si>
    <t>Ulica Hermana Potočnika 31</t>
  </si>
  <si>
    <t>ČETRTNA SKUPNOST JARŠE - Perčeva ulica 22</t>
  </si>
  <si>
    <t>Perčeva ulica 22</t>
  </si>
  <si>
    <t xml:space="preserve">Poraba elektrike je skupna (razsvetljava+ogrevanje+ostala raba!) </t>
  </si>
  <si>
    <t>ČETRTNA SKUPNOST MOSTE</t>
  </si>
  <si>
    <t>Ob Ljubljanici 36 A</t>
  </si>
  <si>
    <t>130-180</t>
  </si>
  <si>
    <t>ČETRTNA SKUPNOST POLJE</t>
  </si>
  <si>
    <t>Polje 12</t>
  </si>
  <si>
    <t>Agrokombinatska 2</t>
  </si>
  <si>
    <t>Zadobrovška 88</t>
  </si>
  <si>
    <t>Kašeljska 95</t>
  </si>
  <si>
    <t>ČETRTNA SKUPNOST POSAVJE</t>
  </si>
  <si>
    <t>Bratovševa ploščad 30</t>
  </si>
  <si>
    <t>Dunajska cesta 230</t>
  </si>
  <si>
    <t>ČETRTNA SKUPNOST SOSTRO</t>
  </si>
  <si>
    <t>Cesta II. grupe odredov 43</t>
  </si>
  <si>
    <t>163-180</t>
  </si>
  <si>
    <t>1948/2005</t>
  </si>
  <si>
    <t>ČETRTNA SKUPNOST ŠENTVID</t>
  </si>
  <si>
    <t>el. bojler (1×1500W)</t>
  </si>
  <si>
    <t>Prušnikova ulica 99</t>
  </si>
  <si>
    <t>el. bojler (5×1500W)</t>
  </si>
  <si>
    <t>Kosijeva 1</t>
  </si>
  <si>
    <t>el. bojler (3×1500W)</t>
  </si>
  <si>
    <t>Na Gmajni 1</t>
  </si>
  <si>
    <t>ČETRTNA SKUPNOST ŠIŠKA</t>
  </si>
  <si>
    <t>Kebetova ulica 1</t>
  </si>
  <si>
    <t>Dobavitelj: ENERGETIKA Ljubljana</t>
  </si>
  <si>
    <t>ČETRTNA SKUPNOST ŠMARNA GORA</t>
  </si>
  <si>
    <t>Pločanska ulica 8</t>
  </si>
  <si>
    <t>ČETRTNA SKUPNOST ROŽNIK</t>
  </si>
  <si>
    <t>Viška cesta 38</t>
  </si>
  <si>
    <t>ČETRTNA SKUPNOST RUDNIK</t>
  </si>
  <si>
    <t>Pot k ribniku 20</t>
  </si>
  <si>
    <t>Ižanska cesta 305</t>
  </si>
  <si>
    <t>Dolenjska cesta 115A</t>
  </si>
  <si>
    <t>ČETRTNA SKUPNOST TRNOVO</t>
  </si>
  <si>
    <t>Cesta dveh cesarjev 32</t>
  </si>
  <si>
    <t>1xel.bojler</t>
  </si>
  <si>
    <t>Gerbičeva 16</t>
  </si>
  <si>
    <t>2xel.bojler</t>
  </si>
  <si>
    <t>ČETRTNA SKUPNOST VIČ</t>
  </si>
  <si>
    <t>Tbilisijska ulica 22 A</t>
  </si>
  <si>
    <t>el.bojler 30l</t>
  </si>
  <si>
    <t>Besnica 20</t>
  </si>
  <si>
    <t>ŠPORT</t>
  </si>
  <si>
    <t>ŠPORTNI PARK TIVOLI</t>
  </si>
  <si>
    <t xml:space="preserve"> Celovška 25, spodnja Šiška</t>
  </si>
  <si>
    <t>TP1:414kW;TP2:1470kW</t>
  </si>
  <si>
    <t>1964/1998</t>
  </si>
  <si>
    <t>CKT TIVOLI</t>
  </si>
  <si>
    <t xml:space="preserve"> Celovška 25</t>
  </si>
  <si>
    <t>1974/</t>
  </si>
  <si>
    <t>ŠPORTNI CENTER BEŽIGRAD - JEŽICA</t>
  </si>
  <si>
    <t xml:space="preserve"> Savlje 6, Bežigrad</t>
  </si>
  <si>
    <t>1978/1991</t>
  </si>
  <si>
    <t>ŠPORTNI CENTER TESOVNIKOVA</t>
  </si>
  <si>
    <t xml:space="preserve"> Tesovnikova ulica 54</t>
  </si>
  <si>
    <t>DRUŽBENI DOM STADION- telovadnice, kegljišče</t>
  </si>
  <si>
    <t xml:space="preserve"> Staničeva 41</t>
  </si>
  <si>
    <t>1976/</t>
  </si>
  <si>
    <t>ŠPORTNI CENTER ČRNUČE</t>
  </si>
  <si>
    <t xml:space="preserve"> Cesta 24. junija 15</t>
  </si>
  <si>
    <t>ŠPORTNI CENTER SAVSKO NASELJE</t>
  </si>
  <si>
    <t xml:space="preserve"> Kranjčeva ulica 24, Bežigrad</t>
  </si>
  <si>
    <t>TOPLOTNA ČRPALKA 500kW</t>
  </si>
  <si>
    <t>ŠPORTNI PARK ILIRIJA</t>
  </si>
  <si>
    <t xml:space="preserve"> Vodnikova 155</t>
  </si>
  <si>
    <t>DRSALIŠČE ZALOG</t>
  </si>
  <si>
    <t xml:space="preserve"> Hladilniška pot 36</t>
  </si>
  <si>
    <t>43 kW (3) + 24 kW (1)</t>
  </si>
  <si>
    <t>2000/2007</t>
  </si>
  <si>
    <t>hlajenje s centralnim prostorom z razvodom do prostorov</t>
  </si>
  <si>
    <t>STRELIŠČE</t>
  </si>
  <si>
    <t xml:space="preserve"> Dolenjska cesta 11</t>
  </si>
  <si>
    <t>KOTEL 1: 350 kW; KOTEL 2: 290 kW</t>
  </si>
  <si>
    <t>ŠPORTNI PARK SVOBODA</t>
  </si>
  <si>
    <t xml:space="preserve"> Gerbičeva 61</t>
  </si>
  <si>
    <t>ŠPORTNA DVORANA KRIM</t>
  </si>
  <si>
    <t xml:space="preserve"> Ob Dolenjski železnici 50</t>
  </si>
  <si>
    <t xml:space="preserve"> Gortanova 21</t>
  </si>
  <si>
    <t>1972/2008</t>
  </si>
  <si>
    <t>ŠPORTNI CENTER TRIGLAV</t>
  </si>
  <si>
    <t>Vodovodna cesta 25</t>
  </si>
  <si>
    <t>ŠPORTNI CENTER BS - 7</t>
  </si>
  <si>
    <t xml:space="preserve"> Ul. Staneta Severja</t>
  </si>
  <si>
    <t>PARTIZAN MOSTE</t>
  </si>
  <si>
    <t xml:space="preserve"> Proletarska 3</t>
  </si>
  <si>
    <t>PARTIZAN ZELENA JAMA</t>
  </si>
  <si>
    <t xml:space="preserve"> Pokopališka 35</t>
  </si>
  <si>
    <t>1936/1952</t>
  </si>
  <si>
    <t>KAJAK KANU CENTER LIVADA</t>
  </si>
  <si>
    <t xml:space="preserve"> Livada 31</t>
  </si>
  <si>
    <t>KAJAK KANU CENTER TACEN</t>
  </si>
  <si>
    <t xml:space="preserve"> Marinškova 8a</t>
  </si>
  <si>
    <t>BALINARSKA DVORANA ZARJA</t>
  </si>
  <si>
    <t xml:space="preserve"> Linhartova 47</t>
  </si>
  <si>
    <t>ni PTSV</t>
  </si>
  <si>
    <t>KONJENIŠKE ŠPORTNE POVRŠINE</t>
  </si>
  <si>
    <t xml:space="preserve"> Pot k Savi 20</t>
  </si>
  <si>
    <t>TENIŠKA IGRIŠČA MURGLE I.</t>
  </si>
  <si>
    <t xml:space="preserve"> Mokrška ul. 52</t>
  </si>
  <si>
    <t>TENIŠKA IN KOŠARKAŠKA IGRIŠČA MURGLE II.</t>
  </si>
  <si>
    <t xml:space="preserve"> V Murglah 95d</t>
  </si>
  <si>
    <t>TENIŠKA IGRIŠČA KVEDROVA</t>
  </si>
  <si>
    <t xml:space="preserve"> Kvedrova 18, Jarše</t>
  </si>
  <si>
    <t>KOPALIŠČE ILIRIJA</t>
  </si>
  <si>
    <t xml:space="preserve"> Celovška 3</t>
  </si>
  <si>
    <t>VESLAŠKI CENTER LJUBLJANICA</t>
  </si>
  <si>
    <t xml:space="preserve"> Velika čolnarska 20</t>
  </si>
  <si>
    <t>1928/1974</t>
  </si>
  <si>
    <t>IGRIŠČA KRIM (Balinarska dvorana Krim)</t>
  </si>
  <si>
    <t xml:space="preserve"> Pot k ribniku 3</t>
  </si>
  <si>
    <t>2x kotel (70 AE In 23,75 kW)</t>
  </si>
  <si>
    <t>70 AE (2006), 23,75 (2008)</t>
  </si>
  <si>
    <t>1995/2005</t>
  </si>
  <si>
    <t>BALINARSKA DVORANA ŠIŠKA</t>
  </si>
  <si>
    <t xml:space="preserve"> Jezerska 5</t>
  </si>
  <si>
    <t>električni boljer</t>
  </si>
  <si>
    <t>BALINIŠČE BS - 3</t>
  </si>
  <si>
    <t xml:space="preserve"> Baragova 11</t>
  </si>
  <si>
    <t>9kW el. kotel</t>
  </si>
  <si>
    <t>ni priprave tople vode</t>
  </si>
  <si>
    <t>PARTIZAN VIČ</t>
  </si>
  <si>
    <t xml:space="preserve"> Tržaška 76</t>
  </si>
  <si>
    <t>KOTEL 1: 111 kW; KOTEL 2: 53,1 kW</t>
  </si>
  <si>
    <t>1919/1953</t>
  </si>
  <si>
    <t>Osnovna šola Bežigrad</t>
  </si>
  <si>
    <t>Črtomirova ulica 12</t>
  </si>
  <si>
    <t>Osnovna šola Bičevje</t>
  </si>
  <si>
    <t>Splitska ulica 13</t>
  </si>
  <si>
    <t>2x500kW Unical</t>
  </si>
  <si>
    <t>centralno z ogrevalnim sistemom 2 x 1500 litrov poleti na elektriko</t>
  </si>
  <si>
    <t>Enota Bonifacija (ogreva jih vrtec Viški gaj)</t>
  </si>
  <si>
    <t>Ulica Malči Beličeve 20</t>
  </si>
  <si>
    <t>centralno z ogrevalnim sistemom</t>
  </si>
  <si>
    <t>Osnovna šola Božidarja Jakca Ljubljana</t>
  </si>
  <si>
    <t>Nusdorferjeva ulica 10</t>
  </si>
  <si>
    <t>Podružnična šola Hrušica</t>
  </si>
  <si>
    <t>Po do šole 1</t>
  </si>
  <si>
    <t>Osnovna šola Danile Kumar Ljubljana</t>
  </si>
  <si>
    <t>Godeževa ulica 11</t>
  </si>
  <si>
    <t>centralo z ogrevalnim sistemom</t>
  </si>
  <si>
    <t>Osnovna šola dr. Vita Kraigherja Ljubljana</t>
  </si>
  <si>
    <t>Trg 9. maja 1</t>
  </si>
  <si>
    <t>toplotna postaja</t>
  </si>
  <si>
    <t>centralno z ogrevalnim sistemom - 2000 litrov</t>
  </si>
  <si>
    <t>Osnovna šola Dravlje</t>
  </si>
  <si>
    <t>Klopčičeva ulica 1</t>
  </si>
  <si>
    <t>Osnovna šola Franca Rozmana - Staneta Ljubljana</t>
  </si>
  <si>
    <t>Prušnikova ulica 85</t>
  </si>
  <si>
    <t>2x250</t>
  </si>
  <si>
    <t>centralo z ogrevalnim sistemom-800 litrov bojler celo leto</t>
  </si>
  <si>
    <t>Osnovna šola Franceta Bevka Ljubljana</t>
  </si>
  <si>
    <t>Ulica Pohorskega bataljona 1</t>
  </si>
  <si>
    <t>Osnovna šola Hinka Smrekarja Ljubljana</t>
  </si>
  <si>
    <t>Gorazdova ulica 16</t>
  </si>
  <si>
    <t>emk, imp</t>
  </si>
  <si>
    <t>Osnovna šola Jožeta Moškriča Ljubljana</t>
  </si>
  <si>
    <t>Jarška cesta 34</t>
  </si>
  <si>
    <t xml:space="preserve">centralo z ogrevalnim sistemom 500 litrov šola in 250 prizidek </t>
  </si>
  <si>
    <t>Osnovna šola Karla Destovnika Kajuha Ljubljana</t>
  </si>
  <si>
    <t>Jakčeva ulica 42</t>
  </si>
  <si>
    <t>Osnovna šola Ketteja in Murna Ljubljana</t>
  </si>
  <si>
    <t>Koširjeva ulica 2</t>
  </si>
  <si>
    <t>2x396</t>
  </si>
  <si>
    <t>centralo z ogrevalnim sistemom in električno</t>
  </si>
  <si>
    <t>Osnovna šola Kolezija</t>
  </si>
  <si>
    <t>Cesta v Mestni log 46</t>
  </si>
  <si>
    <t>2x290</t>
  </si>
  <si>
    <t>centralo z ogrevalnim sistemom in električno 1500 litrov</t>
  </si>
  <si>
    <t>Osnovna šola Koseze</t>
  </si>
  <si>
    <t>Ledarska ulica 23</t>
  </si>
  <si>
    <t>centralno z ogrevalnim sistemom celo leto - 2000 litrov</t>
  </si>
  <si>
    <t>Osnovna šola Ledina</t>
  </si>
  <si>
    <t>Komenskega ulica 19</t>
  </si>
  <si>
    <t>Osnovna šola Livada Ljubljana</t>
  </si>
  <si>
    <t>Ulica Dušana Kraigherja 2</t>
  </si>
  <si>
    <t>240 in 340kW baltur</t>
  </si>
  <si>
    <t>centralo z ogrevalnim sistemom-bojler 2500 litrov čez celo leto z ogrevalnim sistemom</t>
  </si>
  <si>
    <t>Osnovna šola Majde Vrhovnik Ljubljana</t>
  </si>
  <si>
    <t>Gregorčičeva ulica 16</t>
  </si>
  <si>
    <t>daljinsko</t>
  </si>
  <si>
    <t>toplovod celo leto 800 litrov</t>
  </si>
  <si>
    <t>Osnovna šola Martina Krpana Ljubljana</t>
  </si>
  <si>
    <t>Gašperšičeva ulica 10</t>
  </si>
  <si>
    <t>n.p.</t>
  </si>
  <si>
    <t>Osnovna šola Milana Šuštaršiča Ljubljana</t>
  </si>
  <si>
    <t>Štembalova ulica 2A</t>
  </si>
  <si>
    <t>centralno z ogrevalnim sistemom 2000 l in 1500 litrov in 2 x 10 litrov elektro</t>
  </si>
  <si>
    <t>Osnovna šola Mirana Jarca Ljubljana</t>
  </si>
  <si>
    <t>Ipavčeva ulica 1</t>
  </si>
  <si>
    <t>centralno z ogrevalnim sistemom 800 in 500 litrov in lokalno 2x 80 in 22 x50 litrov</t>
  </si>
  <si>
    <t>Osnovna šola Miška Kranjca Ljubljana</t>
  </si>
  <si>
    <t>Kamnogoriška cesta 35</t>
  </si>
  <si>
    <t>2x360</t>
  </si>
  <si>
    <t>centralno z ogrevalnim sistemomo</t>
  </si>
  <si>
    <t>Osnovna šola narodnega heroja Maksa Pečarja</t>
  </si>
  <si>
    <t>Črnuška cesta 9</t>
  </si>
  <si>
    <t>2x700kW tvt</t>
  </si>
  <si>
    <t>1990-92</t>
  </si>
  <si>
    <t>Osnovna šola narodnega heroja Maksa Pečarja-stara šola</t>
  </si>
  <si>
    <t>Dunajska cesta 390</t>
  </si>
  <si>
    <t>2x340kW unical</t>
  </si>
  <si>
    <t>lokalno z elek. Grelniki</t>
  </si>
  <si>
    <t>Osnovna šola Nove Fužine</t>
  </si>
  <si>
    <t>Preglov trg 8</t>
  </si>
  <si>
    <t>centralno z ogrevalnim sistemom 2 x 2000 litrov in 6 x 80 litrov električno</t>
  </si>
  <si>
    <t>Osnovna šola Nove Jarše</t>
  </si>
  <si>
    <t>Clevelandska ulica 11</t>
  </si>
  <si>
    <t>Osnovna šola Oskarja Kovačiča Ljubljana</t>
  </si>
  <si>
    <t>Ob dolenjski železnici 48</t>
  </si>
  <si>
    <t>Osnovna šola Oskarja Kovačiča Ljubljana-stara šola</t>
  </si>
  <si>
    <t>Dolenjska cesta 20</t>
  </si>
  <si>
    <t>Osnovna šola Oskarja Kovačiča Ljubljana-Rudnik</t>
  </si>
  <si>
    <t>Rudnik I 6</t>
  </si>
  <si>
    <t>Galjevica 52</t>
  </si>
  <si>
    <t>Osnovna šola Poljane Ljubljana</t>
  </si>
  <si>
    <t>centralno z ogrevalnim sistemom-800-telovadnica in 1000 učilnice in 1500 kuhinja</t>
  </si>
  <si>
    <t>Osnovna šola Polje - Polje 358</t>
  </si>
  <si>
    <t>Polje 358</t>
  </si>
  <si>
    <t>2x450kW termex</t>
  </si>
  <si>
    <t>Osnovna šola Polje Zadovrovška cesta 1</t>
  </si>
  <si>
    <t>Zadobrovša cesta 1</t>
  </si>
  <si>
    <t>290kW tvt</t>
  </si>
  <si>
    <t>Podružnica Kašelj</t>
  </si>
  <si>
    <t>Kašeljska cesta 119a</t>
  </si>
  <si>
    <t>450in 350kW</t>
  </si>
  <si>
    <t>1985, 1994</t>
  </si>
  <si>
    <t>Osnovna šola Prežihovega Voranca Ljubljana</t>
  </si>
  <si>
    <t>Prežihova ulica 8</t>
  </si>
  <si>
    <t>centralno z ogrevalnim sistemom 2 x 1500 in 4 x 10 litrov</t>
  </si>
  <si>
    <t>Osnovna šola Prule</t>
  </si>
  <si>
    <t>Prule 13</t>
  </si>
  <si>
    <t>2 x 582kW emo</t>
  </si>
  <si>
    <t>centralno  1000 in 500 v kuhinji z pretočno plinsko pečjo</t>
  </si>
  <si>
    <t>Osnovna šola Riharda Jakopiča Ljubljana</t>
  </si>
  <si>
    <t>Derčeva ulica 1</t>
  </si>
  <si>
    <t>Osnovna šola Savsko naselje</t>
  </si>
  <si>
    <t>Matjaževa ulica 4</t>
  </si>
  <si>
    <t>daljinsko ogrevanje</t>
  </si>
  <si>
    <t>centralno 2 x 1000 litrov in lokalno 8 litrov</t>
  </si>
  <si>
    <t>Osnovna šola Sostro</t>
  </si>
  <si>
    <t>Cesta II. grupe odredov 47</t>
  </si>
  <si>
    <t>400kW Ecoterm</t>
  </si>
  <si>
    <t>centralno z električno energijo</t>
  </si>
  <si>
    <t>Podružnica Besnica</t>
  </si>
  <si>
    <t>Besnica 21</t>
  </si>
  <si>
    <t>tvt</t>
  </si>
  <si>
    <t>centralno z ogrevalnim sistemom in električno energijo</t>
  </si>
  <si>
    <t>Podružnica Janče z vrtcem</t>
  </si>
  <si>
    <t>Gabrje pri Jančah 16</t>
  </si>
  <si>
    <t>105kW unical</t>
  </si>
  <si>
    <t>Podružnica Javor-ŠOLA ZAPRTA</t>
  </si>
  <si>
    <t>Javor 5</t>
  </si>
  <si>
    <t xml:space="preserve">Podružnica Lipoglav z vrtcem </t>
  </si>
  <si>
    <t>Mali Lipoglav 8</t>
  </si>
  <si>
    <t>90kW viessman</t>
  </si>
  <si>
    <t>Podružnica Prežganje</t>
  </si>
  <si>
    <t>Prežganje 7</t>
  </si>
  <si>
    <t>50kW vw term</t>
  </si>
  <si>
    <t>Osnovna šola Spodnja Šiška</t>
  </si>
  <si>
    <t>Gasilska cesta 17</t>
  </si>
  <si>
    <t>Osnovna šola Šentvid</t>
  </si>
  <si>
    <t>Prušnikova ulica 98</t>
  </si>
  <si>
    <t>3x630</t>
  </si>
  <si>
    <t>centralno 1500 in 100 za telovadnico in lokalno 10 x 10 litrov</t>
  </si>
  <si>
    <t>Osnovna šola Šmartno pod Šmarno goro</t>
  </si>
  <si>
    <t>Cesta v Gameljne 7</t>
  </si>
  <si>
    <t>2x630kW unical</t>
  </si>
  <si>
    <t>centralno in lokalno 2000 litrov poleti z elektriko</t>
  </si>
  <si>
    <t>Osnovna šola Toneta Čufarja Ljubljana</t>
  </si>
  <si>
    <t>Čufarjeva ulica 11</t>
  </si>
  <si>
    <t>daljinsko- 674 kW</t>
  </si>
  <si>
    <t xml:space="preserve">centralno z ogrevalnim sistemom 800 litrov </t>
  </si>
  <si>
    <t>Osnovna šola Trnovo (ogreva tudi 2 vrtca)</t>
  </si>
  <si>
    <t>Karunova ulica 14A</t>
  </si>
  <si>
    <t>Osnovna šola Valentina Vodnika Ljubljana</t>
  </si>
  <si>
    <t>Adamičeva ulica 16</t>
  </si>
  <si>
    <t>centralno z ogrevalnim sistemom ter lokalno z električnimi grelniki</t>
  </si>
  <si>
    <t>Osnovna šola Valentina Vodnika Ljubljana -stara šola</t>
  </si>
  <si>
    <t>Vodnikova 162</t>
  </si>
  <si>
    <t>Osnovna šola Vič</t>
  </si>
  <si>
    <t>Abramova ulica 26</t>
  </si>
  <si>
    <t>Osnovna šola Vič - stara šola</t>
  </si>
  <si>
    <t>Tržaška 74</t>
  </si>
  <si>
    <t>Osnovna šola Vide Pregarc Ljubljana</t>
  </si>
  <si>
    <t>Bazoviška ulica 1</t>
  </si>
  <si>
    <t>centralno z ogrevalnim sistemom 1200 litrov</t>
  </si>
  <si>
    <t>Osnovna šola Vižmarje - Brod</t>
  </si>
  <si>
    <t>Na gaju 2</t>
  </si>
  <si>
    <t>2 x 450kW buderus</t>
  </si>
  <si>
    <t>centralno z ogrevalnim sistemom - 1500 litrov bojler</t>
  </si>
  <si>
    <t>Osnovna šola Vodmat</t>
  </si>
  <si>
    <t>Potrčeva ulica 1</t>
  </si>
  <si>
    <t>CTC SRC 336, Simon</t>
  </si>
  <si>
    <t>Simon 2003</t>
  </si>
  <si>
    <t>Osnovna šola Vrhovci</t>
  </si>
  <si>
    <t>Cesta na Bokalce 1</t>
  </si>
  <si>
    <t>2x448kW unical</t>
  </si>
  <si>
    <t>centralno z ogrevalnim sistemom-celo leto 1000 L bojler</t>
  </si>
  <si>
    <t>Osnovna šola Zadobrova skupaj z vrtcem</t>
  </si>
  <si>
    <t>Zadobrovška cesta 35</t>
  </si>
  <si>
    <t>2 bivalentna bojlerja po 800l</t>
  </si>
  <si>
    <t>Osnovna šola Zalog</t>
  </si>
  <si>
    <t>Cerutova ulica 7</t>
  </si>
  <si>
    <t>510kW buderus</t>
  </si>
  <si>
    <t>centralno z ogrevalnim sistemom 1000 litrov</t>
  </si>
  <si>
    <t>Vrtec Ciciban enota Ajda</t>
  </si>
  <si>
    <t>Gogalova ulica 16</t>
  </si>
  <si>
    <t>izmenjevalec toplote</t>
  </si>
  <si>
    <t>Vrtec Ciciban enota Lenka</t>
  </si>
  <si>
    <t>Baragova ulica 11</t>
  </si>
  <si>
    <t>Vrtec Ciciban enota Mehurčki</t>
  </si>
  <si>
    <t>Reboljeva ulica 18</t>
  </si>
  <si>
    <t>Vrtec Ciciban enota Pastirčki</t>
  </si>
  <si>
    <t>Vrtec Ciciban enota Čebelica</t>
  </si>
  <si>
    <t>Šarhova ulica 29</t>
  </si>
  <si>
    <t>Vrtec Galjevica enota Galjevica</t>
  </si>
  <si>
    <t>Galjevica 35</t>
  </si>
  <si>
    <t>698kW tam-ogreva se iz šole</t>
  </si>
  <si>
    <t>Vrtec Galjevica enota Orlova</t>
  </si>
  <si>
    <t>Ob dolenjski železnici 10</t>
  </si>
  <si>
    <t>225kW Viessman</t>
  </si>
  <si>
    <t>centralno z ogrevalnim sistemom 800 litrov poleti z elektriko</t>
  </si>
  <si>
    <t>Vrtec Galjevica lokacija Dolenjska cesta</t>
  </si>
  <si>
    <t>Dolenjska cesta 52</t>
  </si>
  <si>
    <t>ogrevanje iz bloka</t>
  </si>
  <si>
    <t>80 bojler</t>
  </si>
  <si>
    <t>Vrtec Galjevica lokacija Pot k ribniku</t>
  </si>
  <si>
    <t>2 x 80 litrov</t>
  </si>
  <si>
    <t>Vrtec H.C. Andersen enota H.C.A.</t>
  </si>
  <si>
    <t>Rašiška ulica 7</t>
  </si>
  <si>
    <t>centralno z ogrevalnim sistemom in lokalnimi grelniki</t>
  </si>
  <si>
    <t>Vrtec H.C. Andersen Lastovica</t>
  </si>
  <si>
    <t>Derčeva ulica 10</t>
  </si>
  <si>
    <t>Vrtec H.C. Andersen Marjetica</t>
  </si>
  <si>
    <t>Bitenčeva ulica 4</t>
  </si>
  <si>
    <t>Vrtec H.C. Andersen Palčica</t>
  </si>
  <si>
    <t>Vodnikova ulica 2</t>
  </si>
  <si>
    <t>Vrtec Jarše enota Kekec</t>
  </si>
  <si>
    <t>Ulica Hermana Potočnika 15</t>
  </si>
  <si>
    <t>Vrtec Jarše enota Mojca</t>
  </si>
  <si>
    <t>Clevelandska ulica 13</t>
  </si>
  <si>
    <t>Vrtec Jarše enota Rožle</t>
  </si>
  <si>
    <t>Rožičeva ulica 10</t>
  </si>
  <si>
    <t>Vrtec Jarše enota Rožle - Zelena jama</t>
  </si>
  <si>
    <t>Pokopališča ulica 30</t>
  </si>
  <si>
    <t>65kW tvt</t>
  </si>
  <si>
    <t>Vrtec Jelka enota Jelka</t>
  </si>
  <si>
    <t xml:space="preserve">Glavarjeva ulica 18a </t>
  </si>
  <si>
    <t>centralno z ogrevalnim sistemom 1250+500l</t>
  </si>
  <si>
    <t>Vrtec Jelka enota Palčki</t>
  </si>
  <si>
    <t>Lavričeva ulica 5a</t>
  </si>
  <si>
    <t>centralno z ogrevalnim sistemom 800l</t>
  </si>
  <si>
    <t>Vrtec Jelka enota Sneguljčica</t>
  </si>
  <si>
    <t>Vodovodna ulica 3a</t>
  </si>
  <si>
    <t>Vrtec Jelka enota Vila</t>
  </si>
  <si>
    <t>Staničeva ulica 37a</t>
  </si>
  <si>
    <t>Vrtec Kolezija enota Kolezija</t>
  </si>
  <si>
    <t>Rezijanska ulica 22</t>
  </si>
  <si>
    <t>centralno z ogrevalnim sistemom celo leto na ZP 1 x 800 litrov</t>
  </si>
  <si>
    <t>Vrtec Kolezija enota Murgle</t>
  </si>
  <si>
    <t>Pod bukvami 11</t>
  </si>
  <si>
    <t>106kW Buderus</t>
  </si>
  <si>
    <t>centralno z ogrevalnim sistemom celo leto na ZP 1 x 500 litrov</t>
  </si>
  <si>
    <t>Vrtec Kolezija enota Mencingerjeva</t>
  </si>
  <si>
    <t>Mencingerjeva ulica 19</t>
  </si>
  <si>
    <t>pretočni steenski na ZP</t>
  </si>
  <si>
    <t>Novo polje, cesta VI 1</t>
  </si>
  <si>
    <t>iz šole</t>
  </si>
  <si>
    <t>Vrtec Miškolin enota Rjava cesta</t>
  </si>
  <si>
    <t>Novo polje, cesta V 3</t>
  </si>
  <si>
    <t>Vrtec Miškolin enota Rjava cesta I</t>
  </si>
  <si>
    <t>Rjava cesta 1</t>
  </si>
  <si>
    <t>Vrtec Miškolin enota Sneberje</t>
  </si>
  <si>
    <t xml:space="preserve">Šmartinska cesta 246 </t>
  </si>
  <si>
    <t>57kW vaillant</t>
  </si>
  <si>
    <t xml:space="preserve">Vrtec Miškolin enota Zajčja dobrava </t>
  </si>
  <si>
    <t>Zadobrovška cesta 28a</t>
  </si>
  <si>
    <t>115kW unical</t>
  </si>
  <si>
    <t>Vrtec Pedenjped enota Janče-skupaj s šolo</t>
  </si>
  <si>
    <t>Vrtec Pedenjped enota Kašelj</t>
  </si>
  <si>
    <t>Ob studencu 11a</t>
  </si>
  <si>
    <t>62kW tam</t>
  </si>
  <si>
    <t>Vrtec Pedenjped enota Lipoglav skupaj s šolo</t>
  </si>
  <si>
    <t>Vrtec Pedenjped enota Vevče</t>
  </si>
  <si>
    <t>Papirniški trg 5</t>
  </si>
  <si>
    <t>100kw tvt</t>
  </si>
  <si>
    <t>centralno, lokalno z električnimi grelniki</t>
  </si>
  <si>
    <t>Vrtec Pedenjped enota Zadvor</t>
  </si>
  <si>
    <t>Cesta II 41</t>
  </si>
  <si>
    <t>105kW viessman</t>
  </si>
  <si>
    <t>Vrtec Pedenjped enota Zalog</t>
  </si>
  <si>
    <t>Cerutova ulica 5</t>
  </si>
  <si>
    <t>420kW unical</t>
  </si>
  <si>
    <t>Cerutova ulica 6</t>
  </si>
  <si>
    <t>Kolezijska ulica 11</t>
  </si>
  <si>
    <t>v šoli</t>
  </si>
  <si>
    <t>Karunova ulica 16 a</t>
  </si>
  <si>
    <t>centralno z ogrevanjem in z električno energijo</t>
  </si>
  <si>
    <t>Vrtec Trnovo Trnovski pristan</t>
  </si>
  <si>
    <t>Trnovski pristan 12</t>
  </si>
  <si>
    <t>v bloku</t>
  </si>
  <si>
    <t>Vrtec Viški gaj enota Bonifacija (upoštevana šola Bonifacija)</t>
  </si>
  <si>
    <t>230kW tam</t>
  </si>
  <si>
    <t>centralno z ogrevalnim sistemom-celo leto 2000 L bojler</t>
  </si>
  <si>
    <t>Vrtec Viški gaj enota Kozarje</t>
  </si>
  <si>
    <t>Hacetova ulica 13</t>
  </si>
  <si>
    <t>Vrtec Viški gaj enota Zarja</t>
  </si>
  <si>
    <t>Reška ulica 31</t>
  </si>
  <si>
    <t>centralno z ogrevalnim in električno energijo poleti-1000l za objekt in 800l za kuhinjo</t>
  </si>
  <si>
    <t>Vrtec Viški vrtci enota Bičevje</t>
  </si>
  <si>
    <t>Vidmarjeva ulica 10</t>
  </si>
  <si>
    <t>centralno v 300 litrskem bojlerju</t>
  </si>
  <si>
    <t>Vrtec Viški vrtci enota Hiša pri ladji</t>
  </si>
  <si>
    <t>Skapinova ulica 2 in 4</t>
  </si>
  <si>
    <t>42kW viessman</t>
  </si>
  <si>
    <t>Vrtec Viški vrtci enota Na jamovi</t>
  </si>
  <si>
    <t>Jamova cesta 23</t>
  </si>
  <si>
    <t>248kW rendamax</t>
  </si>
  <si>
    <t>Vrtec Viški vrtci enota Rožna dolina</t>
  </si>
  <si>
    <t>Cesta 27. 12</t>
  </si>
  <si>
    <t>2x115kW unical</t>
  </si>
  <si>
    <t>Vrtec Vrhovci enota Brdo</t>
  </si>
  <si>
    <t>Stantetova ulica 1a</t>
  </si>
  <si>
    <t>2x75kW hidroterm</t>
  </si>
  <si>
    <t>centralno z ogrevalnim sistemom-poleti na elektriko  bojler 500l</t>
  </si>
  <si>
    <t>Vrtec Vrhovci enota Rožnik</t>
  </si>
  <si>
    <t>Cesta na Brdo 30</t>
  </si>
  <si>
    <t>200kW kiv</t>
  </si>
  <si>
    <t>centralno z ogrevalnim sistemom-celo leto bojler 1000 l</t>
  </si>
  <si>
    <t>Vrtec Vrhovci enota Vrhovci</t>
  </si>
  <si>
    <t>Vrhovci cesta XIX 10</t>
  </si>
  <si>
    <t>2x110kW vaillant</t>
  </si>
  <si>
    <t>centralno z ogrevalnim sistemom-celo leto bojler 1100 l</t>
  </si>
  <si>
    <t>Vrtec Vrhovci lokacija Iga Grudna</t>
  </si>
  <si>
    <t>Ulica Iga Grudna 17</t>
  </si>
  <si>
    <t>3 x 80 litrški električnii bojlerji</t>
  </si>
  <si>
    <t>Vrtec Zelena jama enota Vejica</t>
  </si>
  <si>
    <t>Preglov trg 10</t>
  </si>
  <si>
    <t>Vrtec Zelena jama enota Vrba</t>
  </si>
  <si>
    <t>Brodarjev trg 8</t>
  </si>
  <si>
    <t>Vrtec Zelena jama enota Zelena jama</t>
  </si>
  <si>
    <t>Zvezna ulica 24</t>
  </si>
  <si>
    <t>480 in 580</t>
  </si>
  <si>
    <t>1991 in 2000</t>
  </si>
  <si>
    <t>Vrtec Zelena jama enota Zmajček</t>
  </si>
  <si>
    <t>Ulica Vide Pregarčeve 26a</t>
  </si>
  <si>
    <t>centralno z ogrevalnim sistemom -1500 litrov</t>
  </si>
  <si>
    <t>Vrtec Otona Župančiča enota Mehurčki</t>
  </si>
  <si>
    <t>Parmska cesta 41</t>
  </si>
  <si>
    <t>centralno z ogrevalnim sistemom-celo leto 800 l in 2500  litrški bojler</t>
  </si>
  <si>
    <t>Vrtec Otona Župančiča enota Ringaraja</t>
  </si>
  <si>
    <t>Na peči 20a</t>
  </si>
  <si>
    <t>centralno z ogrevalnim sistemom-celo leto 800  litrški bojler</t>
  </si>
  <si>
    <t>Vrtec Otona Župančiča enota Živ žav</t>
  </si>
  <si>
    <t>Na peči 20</t>
  </si>
  <si>
    <t>centralno z ogrevalnim sistemom-celo leto 1600  litrški bojler</t>
  </si>
  <si>
    <t>Vrtec Otona Župančiča enota Čebelica</t>
  </si>
  <si>
    <t>78kW bk mb</t>
  </si>
  <si>
    <t>Vrtec Otona Župančiča enota Čurimuri</t>
  </si>
  <si>
    <t>Novosadska ulica 1</t>
  </si>
  <si>
    <t>centralno z ogrevalnim sistemom-celo leto 1400 l in 1100 litrški bojler</t>
  </si>
  <si>
    <t>Vrtec Mladi rod enota Veternica</t>
  </si>
  <si>
    <t>Črtomirova 14</t>
  </si>
  <si>
    <t>centralno z ogrevalnim sistemom 3 x 2000 litrov (2 x 60 stopin in 1 x 45 )</t>
  </si>
  <si>
    <t>Vrtec Mladi rod enota Kostanjev vrtec</t>
  </si>
  <si>
    <t>Peričeva 6</t>
  </si>
  <si>
    <t>centralno z ogrevalnim sistemom 500 litrov in električno energijo 300, 3 x 50 in 1 x 80 litrov po objektu</t>
  </si>
  <si>
    <t>Vrtec Mladi rod enota Čira čara</t>
  </si>
  <si>
    <t>Belokranjska 27</t>
  </si>
  <si>
    <t>Vrtec Mladi rod enota Mavrica</t>
  </si>
  <si>
    <t>Savska 1</t>
  </si>
  <si>
    <t>staro 7 let</t>
  </si>
  <si>
    <t>centralno z ogrevalnim sistemom 500 litrov</t>
  </si>
  <si>
    <t>Vrtec Mladi rod enota Stonoga</t>
  </si>
  <si>
    <t>Linhartova 19</t>
  </si>
  <si>
    <t>centralno z ogrevalnim sistemom 200 litrov</t>
  </si>
  <si>
    <t>Vrtec Črnuče enota Gmajna</t>
  </si>
  <si>
    <t>Cesta v pečale 1</t>
  </si>
  <si>
    <t>Vrtec Črnuče enota Ostržek</t>
  </si>
  <si>
    <t>Dunajska cesta 400</t>
  </si>
  <si>
    <t>Vrtec Črnuče enota Sapramiška</t>
  </si>
  <si>
    <t>Cesta 24. junija 48</t>
  </si>
  <si>
    <t>Vrtec Črnuče enota Sonček</t>
  </si>
  <si>
    <t>Kraljeva 10, šentjakob</t>
  </si>
  <si>
    <t>Vrtec Ledina</t>
  </si>
  <si>
    <t>Čufarjeva 14</t>
  </si>
  <si>
    <t>centralno z ogrevalnim sistemo(2 x 3000 litrov) in toplotna črpalka</t>
  </si>
  <si>
    <t>Vrtec Prešeren enota Prešernova</t>
  </si>
  <si>
    <t>Erjavčeva 29</t>
  </si>
  <si>
    <t>centralno z ogrevalnim sistemom celo leto 1000 in 300 litrov</t>
  </si>
  <si>
    <t>Vrtec Prešeren enota Vrtača</t>
  </si>
  <si>
    <t>Prešernova cesta 29</t>
  </si>
  <si>
    <t>130kW tam</t>
  </si>
  <si>
    <t>centralno z ogrevalnim sistemom 500 litrov celo leto</t>
  </si>
  <si>
    <t>Vrtec Prešeren enota Puharjeva upoštevana zraven prešernove</t>
  </si>
  <si>
    <t>Puharjeva ulica 4</t>
  </si>
  <si>
    <t>centralno z ogrevalnim sistemom celo leto 800 litrov -PUŠČA</t>
  </si>
  <si>
    <t>Vrtec Pod gradom enota Prule</t>
  </si>
  <si>
    <t>Praprotnikova 2</t>
  </si>
  <si>
    <t>2x186kW emo</t>
  </si>
  <si>
    <t>Vrtec Pod gradom oddelek Stara Ljubljana</t>
  </si>
  <si>
    <t>Ulica na grad 2</t>
  </si>
  <si>
    <t>238kW emo</t>
  </si>
  <si>
    <t>Vrtec Pod gradom oddelek Janežičeva  (blok)</t>
  </si>
  <si>
    <t>Janežičeva ulica 13</t>
  </si>
  <si>
    <t>Vrtec Pod gradom enota Poljane</t>
  </si>
  <si>
    <t>Strossmayerjeva ulica 3</t>
  </si>
  <si>
    <t>Vrtec Pod gradom oddelek Poljane (blok)</t>
  </si>
  <si>
    <t>Poljanska cesta 21</t>
  </si>
  <si>
    <t>Vrtec Pod gradom oddelek Zemljemerska</t>
  </si>
  <si>
    <t>Zemljemerska ulica 9</t>
  </si>
  <si>
    <t>Vrtec Vodmat enota Vodmat</t>
  </si>
  <si>
    <t>Korytkova 24-26</t>
  </si>
  <si>
    <t>Vrtec Vodmat enota Klinični center</t>
  </si>
  <si>
    <t>Bohorčičeva 36</t>
  </si>
  <si>
    <t>Vrtec Vodmat enota Bolgarska</t>
  </si>
  <si>
    <t>Bolgarska ulica 20</t>
  </si>
  <si>
    <t>Vrtec Šentvid enota Sapramiška</t>
  </si>
  <si>
    <t>Ul. Pregnancev 6</t>
  </si>
  <si>
    <t>508kW unical</t>
  </si>
  <si>
    <t>centralno z ogrevalnim sistemom 1500 in 1250 l (kuhinja) čez celo leto</t>
  </si>
  <si>
    <t>48 kW</t>
  </si>
  <si>
    <t xml:space="preserve">lokalno z elek. Grelniki 3 x 80 in 1 x 100 litrov </t>
  </si>
  <si>
    <t>Vrtec Šentvid enota Mravljiček</t>
  </si>
  <si>
    <t>Martinov pot 16</t>
  </si>
  <si>
    <t>225kW, 2x60kW Viessman</t>
  </si>
  <si>
    <t>centralno z ogrevalnim sistemom 800 l in 300 litrov bojler</t>
  </si>
  <si>
    <t>Vrtec Mojca enota Mojca</t>
  </si>
  <si>
    <t>Levičnikova 11</t>
  </si>
  <si>
    <t>360kW unical</t>
  </si>
  <si>
    <t>centralno z ogrevalnim sistemom 2x1000</t>
  </si>
  <si>
    <t>Vrtec Mojca enota Rožle</t>
  </si>
  <si>
    <t>Ulica bratov učakar 64-66</t>
  </si>
  <si>
    <t>centralno z ogrevalnim sistemom 2x500</t>
  </si>
  <si>
    <t>Vrtec Mojca enota Kekec</t>
  </si>
  <si>
    <t>Klopčičeva 5</t>
  </si>
  <si>
    <t>šole dravlje</t>
  </si>
  <si>
    <t>centralno z ogrevalnim sistemom 1x500? 1x80</t>
  </si>
  <si>
    <t>Vrtec Mojca enota Muca</t>
  </si>
  <si>
    <t>Zoletova 6</t>
  </si>
  <si>
    <t>437kW buderus</t>
  </si>
  <si>
    <t>centralno z ogrevalnim sistemom 1x500, 1x300, 1x80</t>
  </si>
  <si>
    <t xml:space="preserve">Vrtec Mojca enota Tinkara </t>
  </si>
  <si>
    <t>Pečnikova 11</t>
  </si>
  <si>
    <t>centralno z ogrevalnim sistemom 2x2000</t>
  </si>
  <si>
    <t>Vrtec Najdihojca enota Palček</t>
  </si>
  <si>
    <t>Vrtec Najdihojca enota Biba</t>
  </si>
  <si>
    <t>Ljubeljska ulica 16</t>
  </si>
  <si>
    <t>Vrtec Njadihojca enota Čenča</t>
  </si>
  <si>
    <t>Lepodvorska 5</t>
  </si>
  <si>
    <t>Vrtec Njadihojca lokacija Kebetova</t>
  </si>
  <si>
    <t>Kebetova ulica 30</t>
  </si>
  <si>
    <t xml:space="preserve">Vrtec Miškolin enota Novo polje </t>
  </si>
  <si>
    <t>Vrtec Trnovo</t>
  </si>
  <si>
    <t>Vrtec Trnovo lokacija Karunova</t>
  </si>
  <si>
    <t>Vrtec Zelena jama enota Zmajčica</t>
  </si>
  <si>
    <t>Zakotnikova 3</t>
  </si>
  <si>
    <t>Hruševska cesta 88</t>
  </si>
  <si>
    <t>Vrtec Šentvid enota Vid</t>
  </si>
  <si>
    <t>Prušnikova ulica 73a</t>
  </si>
  <si>
    <t>Vrtec Šentvid enota Mišmaš</t>
  </si>
  <si>
    <t>Kosljeva 1</t>
  </si>
  <si>
    <t>prenova 2012, podatki do 2011</t>
  </si>
  <si>
    <t>Njrgoševa cesta 6k</t>
  </si>
  <si>
    <t>Karunova ulica 4-6</t>
  </si>
  <si>
    <t>ni objekt</t>
  </si>
  <si>
    <t>ni v upravljanju MOL</t>
  </si>
  <si>
    <t>do leta 2010</t>
  </si>
  <si>
    <t>združeno Karunova 4-6</t>
  </si>
  <si>
    <t>ni ogrevano</t>
  </si>
  <si>
    <t xml:space="preserve">Vrtec Njadihojca enota Biba </t>
  </si>
  <si>
    <t xml:space="preserve"> Stožice </t>
  </si>
  <si>
    <t>ŠPORTNI PARK STOŽICE - STADION</t>
  </si>
  <si>
    <t>ŠPORTNI PARK STOŽICE - DVORANA</t>
  </si>
  <si>
    <t>2010 - sušenje po poplavi</t>
  </si>
  <si>
    <t>hlajenje</t>
  </si>
  <si>
    <t>centralni sistem</t>
  </si>
  <si>
    <t>termostatski ventili</t>
  </si>
  <si>
    <t>ukrepi na ovoju 2009-2012</t>
  </si>
  <si>
    <t>ukrepi na energetskih sistemih 2009-2012</t>
  </si>
  <si>
    <t>termostatski ventili, varčne žarnice</t>
  </si>
  <si>
    <t>okna, fasada</t>
  </si>
  <si>
    <t>okna</t>
  </si>
  <si>
    <t>kotlovnica</t>
  </si>
  <si>
    <t>okna delno</t>
  </si>
  <si>
    <t>razsvetljava</t>
  </si>
  <si>
    <t>el.bojler 2x2kW</t>
  </si>
  <si>
    <t>pozimi kotlovnica, poleti el.bojler 3x6kW</t>
  </si>
  <si>
    <t>vhodna vrata</t>
  </si>
  <si>
    <t>razsvetljav av igralnicah</t>
  </si>
  <si>
    <t>kotlovnica skupna z OŠ Oskar Kovačič</t>
  </si>
  <si>
    <t>skupna kotlovnica z stan. bloki (2%)</t>
  </si>
  <si>
    <t>184/47</t>
  </si>
  <si>
    <t>376/88</t>
  </si>
  <si>
    <t>priprava STV, ogrevanje, razsvetljava</t>
  </si>
  <si>
    <t xml:space="preserve">el.bojler </t>
  </si>
  <si>
    <t>bojler V=1000L</t>
  </si>
  <si>
    <t xml:space="preserve">el. bojler </t>
  </si>
  <si>
    <t>split sistem 2x</t>
  </si>
  <si>
    <t>split sistem 10x</t>
  </si>
  <si>
    <t>split sistem 3x</t>
  </si>
  <si>
    <t>okna 1/2</t>
  </si>
  <si>
    <t>1/4 hiše</t>
  </si>
  <si>
    <t>dovod ogrevne vode 80°c iz skupne kurilnice</t>
  </si>
  <si>
    <t>kotlovnica, TČ - kuhinja</t>
  </si>
  <si>
    <t>lokalno,centralni sistem: kuhinja</t>
  </si>
  <si>
    <t>skupna kotlovnica za 7 blokov</t>
  </si>
  <si>
    <t>0,58MW, 1,81MW</t>
  </si>
  <si>
    <t>el.bojler 2kW</t>
  </si>
  <si>
    <t>okna, streha</t>
  </si>
  <si>
    <t>STV</t>
  </si>
  <si>
    <t>19,3-82; 8,4-28</t>
  </si>
  <si>
    <t>okna, fasada, streha</t>
  </si>
  <si>
    <t>2013 energetska sanacija</t>
  </si>
  <si>
    <t>kotlovnica Cerutova 6</t>
  </si>
  <si>
    <t>okna, del fasade</t>
  </si>
  <si>
    <t>split sistem 2x, razsvetljava</t>
  </si>
  <si>
    <t>2014 energetska sanacija</t>
  </si>
  <si>
    <t>2x730</t>
  </si>
  <si>
    <t>prizidek Karunova 16b je v uporabi od jeseni 2012; skupna kotlovnica z OŠ Trnovo</t>
  </si>
  <si>
    <t>skupna kotlovnica z OŠ Trnovo</t>
  </si>
  <si>
    <t>lokalno 8kW</t>
  </si>
  <si>
    <t>3x80kW</t>
  </si>
  <si>
    <t>okna, tla</t>
  </si>
  <si>
    <t>okna, streha, tla</t>
  </si>
  <si>
    <t>lokalno 36kW</t>
  </si>
  <si>
    <t>1x21, 1x131</t>
  </si>
  <si>
    <t>poleti el. bojler</t>
  </si>
  <si>
    <t>2x105</t>
  </si>
  <si>
    <t>kotlovnica, el. bojler 6kW</t>
  </si>
  <si>
    <t>lokalno 10kW</t>
  </si>
  <si>
    <t>2x82</t>
  </si>
  <si>
    <t>streha</t>
  </si>
  <si>
    <t>nova kotlovnica</t>
  </si>
  <si>
    <t>2x117</t>
  </si>
  <si>
    <t>lokalno (uprava)</t>
  </si>
  <si>
    <t>fasada v slabem stanju</t>
  </si>
  <si>
    <t>skupna kotlovnica, delež 5,4862%</t>
  </si>
  <si>
    <t>fasada (delno)</t>
  </si>
  <si>
    <t>lokalno 117kW</t>
  </si>
  <si>
    <t>dotrajanost, špranje pri oknih in vratih</t>
  </si>
  <si>
    <t>lokalno 189kW</t>
  </si>
  <si>
    <t>kotlovnica 121kW (2008)</t>
  </si>
  <si>
    <t>celotna prenova 2010</t>
  </si>
  <si>
    <t>centralno prez.; lokalno 25kW</t>
  </si>
  <si>
    <t>lokalno 90kW</t>
  </si>
  <si>
    <t>streha delno</t>
  </si>
  <si>
    <t>energetska sanacija 2013</t>
  </si>
  <si>
    <t>etaža v stoplpnici 1/13</t>
  </si>
  <si>
    <t>zaprt od 1.6.2013 - predviden za rušenje</t>
  </si>
  <si>
    <t>okna, fasada, streha, tla - pred 2009</t>
  </si>
  <si>
    <t>kotlovnica 25kW</t>
  </si>
  <si>
    <t>kotlovnica 20,3kW</t>
  </si>
  <si>
    <t>okna, fasada, tla - pred 2010</t>
  </si>
  <si>
    <t>kotlovnica 13,4kW</t>
  </si>
  <si>
    <t>kotlovnica 151kW</t>
  </si>
  <si>
    <t>kotlovnica 39,5kW</t>
  </si>
  <si>
    <t>pritličje stolpnice, brez sanacije od leta 1980</t>
  </si>
  <si>
    <t>kotlovnica, el. bojler 2kW</t>
  </si>
  <si>
    <t>lokalno, 25,6kW</t>
  </si>
  <si>
    <t>skupna kotlovnica z OŠ Maksa Pečarja</t>
  </si>
  <si>
    <t xml:space="preserve">okna, streha/strop, </t>
  </si>
  <si>
    <t>el. bojler 6x2kW</t>
  </si>
  <si>
    <t>skupna kotlovnica stanovanja C. 24.junija 72</t>
  </si>
  <si>
    <t>lokalno, 25,7kW</t>
  </si>
  <si>
    <t>ogrevanje,</t>
  </si>
  <si>
    <t>lokalno, 17,2kW</t>
  </si>
  <si>
    <t>ogrevanje, hlajenje</t>
  </si>
  <si>
    <t>lokalno, 4x1,1kW</t>
  </si>
  <si>
    <t xml:space="preserve"> bojler</t>
  </si>
  <si>
    <t>okna, delno fasada in streha</t>
  </si>
  <si>
    <t>lokalno, 3x1kW</t>
  </si>
  <si>
    <t>streha 1997</t>
  </si>
  <si>
    <t>razsvetljava sanitarije</t>
  </si>
  <si>
    <t>lokalno, 7x1kW</t>
  </si>
  <si>
    <t>okna v kuhinji</t>
  </si>
  <si>
    <t>skupna kotlovnica z sta. blokom</t>
  </si>
  <si>
    <t>2x 160</t>
  </si>
  <si>
    <t>lokalno, 11x1kW</t>
  </si>
  <si>
    <t xml:space="preserve"> bojler, razsvetljava</t>
  </si>
  <si>
    <t>fasada brez izolacije</t>
  </si>
  <si>
    <t>195 in 87</t>
  </si>
  <si>
    <t>lokalno, 3,3kW</t>
  </si>
  <si>
    <t>ogrevanje, hlajenje, priprava STV</t>
  </si>
  <si>
    <t>tla</t>
  </si>
  <si>
    <t>112 in 153</t>
  </si>
  <si>
    <t>kotlovnica, 1,5m2 SSE</t>
  </si>
  <si>
    <t>lokalno, 3,5kW</t>
  </si>
  <si>
    <t>fotovoltaika 90kW</t>
  </si>
  <si>
    <t>2x78</t>
  </si>
  <si>
    <t>okna, delno fasada</t>
  </si>
  <si>
    <t>ogrevanje</t>
  </si>
  <si>
    <t>100               80</t>
  </si>
  <si>
    <t>kotlovnica, razsvetljava</t>
  </si>
  <si>
    <t>okna, fasada delno</t>
  </si>
  <si>
    <t>50% delež</t>
  </si>
  <si>
    <t>2x48</t>
  </si>
  <si>
    <t>celovita prenova 2011</t>
  </si>
  <si>
    <t>1983/2013</t>
  </si>
  <si>
    <t>slaba okna 1983</t>
  </si>
  <si>
    <t>kotlovnica, el.bojler 2x1,5kW</t>
  </si>
  <si>
    <t>razsvetljava delno</t>
  </si>
  <si>
    <t>streha, tla delno</t>
  </si>
  <si>
    <t>kotlovnica, el.bojler 6x2kW</t>
  </si>
  <si>
    <t>streha, okna</t>
  </si>
  <si>
    <t>okna delno, fasada</t>
  </si>
  <si>
    <t>streha, okna, fasada</t>
  </si>
  <si>
    <t>skupna kotlovnica z stan. blokom</t>
  </si>
  <si>
    <t>2x373-500</t>
  </si>
  <si>
    <t>kotlovnica+ el.bojler 2x18kW</t>
  </si>
  <si>
    <t>kotlovnica+ el.bojler 2kW</t>
  </si>
  <si>
    <t>prenova 2004</t>
  </si>
  <si>
    <t>720; 438; 538</t>
  </si>
  <si>
    <t>okna, fasada - stavba 1    streha - stavba 2</t>
  </si>
  <si>
    <t>okna delno, streha zamenjava kritine</t>
  </si>
  <si>
    <t>lokalno 4x5kW</t>
  </si>
  <si>
    <t>okna, delno streha</t>
  </si>
  <si>
    <t>zelo slabo stanje v toplotni postaji</t>
  </si>
  <si>
    <t>535              161</t>
  </si>
  <si>
    <t>2001   2009</t>
  </si>
  <si>
    <t>okna in fasada 2001; streha kritina 2009</t>
  </si>
  <si>
    <t xml:space="preserve">okna delno </t>
  </si>
  <si>
    <t>okna 2007; streha 2009</t>
  </si>
  <si>
    <t>razsvetljava 2010</t>
  </si>
  <si>
    <t>okna 1995</t>
  </si>
  <si>
    <t>kotlovnica + e. bojler 18kW</t>
  </si>
  <si>
    <t>lokalno 8,1kW</t>
  </si>
  <si>
    <t>2x510</t>
  </si>
  <si>
    <t>okna, streha 2008</t>
  </si>
  <si>
    <t>1964/1997</t>
  </si>
  <si>
    <t>kotlovnica + el. bojler V=500L</t>
  </si>
  <si>
    <t>okna, fasada 2009</t>
  </si>
  <si>
    <t>fasada samo oplesk, brez izolacije</t>
  </si>
  <si>
    <t>okna 2006</t>
  </si>
  <si>
    <t>kotlovnica + e. bojler 2kW</t>
  </si>
  <si>
    <t>okna in fasada - delno</t>
  </si>
  <si>
    <t>2x371</t>
  </si>
  <si>
    <t>okna, streha - telovadnica</t>
  </si>
  <si>
    <t>razsvetljava - učilnice</t>
  </si>
  <si>
    <t>razsvetljava telovadnica</t>
  </si>
  <si>
    <t>nujna sanacija oken in toplotne postaje</t>
  </si>
  <si>
    <t>radiatorji</t>
  </si>
  <si>
    <t>po letu 1995 brez prenove</t>
  </si>
  <si>
    <t>2x233</t>
  </si>
  <si>
    <t>3x698</t>
  </si>
  <si>
    <t>kotlovnica + el. bojler 3x22kW</t>
  </si>
  <si>
    <t>okna in streha delno</t>
  </si>
  <si>
    <t>priprava STV, razsvetljava</t>
  </si>
  <si>
    <t>2x450</t>
  </si>
  <si>
    <t>kotlovnica + TČ 2,9kW</t>
  </si>
  <si>
    <t>lokalno 1,4kW</t>
  </si>
  <si>
    <t>kotlovnica, poleti el. bojler</t>
  </si>
  <si>
    <t>okna, streha - 2008</t>
  </si>
  <si>
    <t>okna delno, streha</t>
  </si>
  <si>
    <t>streha telovadnica</t>
  </si>
  <si>
    <t>TP šola</t>
  </si>
  <si>
    <t>2x400</t>
  </si>
  <si>
    <t>kotlovnica, poleti el.bojler</t>
  </si>
  <si>
    <t>444              398</t>
  </si>
  <si>
    <t>2005    2011</t>
  </si>
  <si>
    <t>kotlovnica 2x1250L; el. bojler 6x2kW</t>
  </si>
  <si>
    <t>2x0,582       480-630</t>
  </si>
  <si>
    <t>1991     2005</t>
  </si>
  <si>
    <t>okna, streha - delno0</t>
  </si>
  <si>
    <t>fasada toplotno neizolirana</t>
  </si>
  <si>
    <t>2x680</t>
  </si>
  <si>
    <t>okna in streha telovadnica</t>
  </si>
  <si>
    <t>TP</t>
  </si>
  <si>
    <t>TP, razsvetljava</t>
  </si>
  <si>
    <t>fasada ni toplotno izolirana</t>
  </si>
  <si>
    <t>2x100</t>
  </si>
  <si>
    <t>kotlovnica + el. bojler 12kW</t>
  </si>
  <si>
    <t>okna in streha na šoli in telovadnici</t>
  </si>
  <si>
    <t>nov bojler 2012</t>
  </si>
  <si>
    <t>2x437-573</t>
  </si>
  <si>
    <t>kotlovnica, TČ=1,59kW</t>
  </si>
  <si>
    <t>lokalno 2kW</t>
  </si>
  <si>
    <t>okna in fasada delno</t>
  </si>
  <si>
    <t>sistem ogrevanja in priprava TSV - delno</t>
  </si>
  <si>
    <t>2x813</t>
  </si>
  <si>
    <t>okna, fasada, streha, tla</t>
  </si>
  <si>
    <t>TP, razsvetljava, priprava TSV</t>
  </si>
  <si>
    <t>2x408</t>
  </si>
  <si>
    <t>kotlovnica, poleti el. bojler 2x15kW</t>
  </si>
  <si>
    <t>okna prizidek</t>
  </si>
  <si>
    <t xml:space="preserve">nov bojler </t>
  </si>
  <si>
    <t>310; 530</t>
  </si>
  <si>
    <t>okna, fasada 2006</t>
  </si>
  <si>
    <t>ogrevanje in TSV 2008</t>
  </si>
  <si>
    <t>SPTE 2013</t>
  </si>
  <si>
    <t>2x581</t>
  </si>
  <si>
    <t>centralno + lokalno 140kW</t>
  </si>
  <si>
    <t>prezračevanje 2. nadst.</t>
  </si>
  <si>
    <t xml:space="preserve">kotlovnica </t>
  </si>
  <si>
    <t>kotlovnica, 2xhranilnik V=1500L</t>
  </si>
  <si>
    <t>centralno + lokalno 28kW</t>
  </si>
  <si>
    <t>centralno + lokalno 545kW</t>
  </si>
  <si>
    <t>prezračevanje</t>
  </si>
  <si>
    <t>kotlovnica, TČ</t>
  </si>
  <si>
    <t>centralno + lokalno 106kW</t>
  </si>
  <si>
    <t>okna, fasada 1/4 objekta</t>
  </si>
  <si>
    <t>TSV, razsvetljava delno</t>
  </si>
  <si>
    <t>koptlovnica</t>
  </si>
  <si>
    <t>centralno + lokalno 85kW</t>
  </si>
  <si>
    <t>oknma, streha - kritina</t>
  </si>
  <si>
    <t>centralno + lokalno 15,6kW</t>
  </si>
  <si>
    <t>centralno + lokalno 16kW</t>
  </si>
  <si>
    <t>ogrevanje, prezračevanje, TSV</t>
  </si>
  <si>
    <t>centralno + lokalno 70kW</t>
  </si>
  <si>
    <t>okna, fasada 2004</t>
  </si>
  <si>
    <t>284             560</t>
  </si>
  <si>
    <t>1978     1979</t>
  </si>
  <si>
    <t>centralno + lokalno 18,2kW</t>
  </si>
  <si>
    <t>okna, streha novi del</t>
  </si>
  <si>
    <t>ogrevanje in prezračevanje</t>
  </si>
  <si>
    <t>centralno + lokalno 87,5kW</t>
  </si>
  <si>
    <t>lokalno 3,15kW</t>
  </si>
  <si>
    <t xml:space="preserve">lokalno  </t>
  </si>
  <si>
    <t>MKL /Slovanska knjižnica</t>
  </si>
  <si>
    <t>glej MKL Bežigrad</t>
  </si>
  <si>
    <t>el. bojler 5x2kW</t>
  </si>
  <si>
    <t>zgrajena leta 2009</t>
  </si>
  <si>
    <t>el. bojler 2kW</t>
  </si>
  <si>
    <t>lokalno 3,5kW</t>
  </si>
  <si>
    <t>lokalno 5 kW</t>
  </si>
  <si>
    <t>ogrevanje, prezračevanje, razsvetljava</t>
  </si>
  <si>
    <t>el.bojler 2x4kW</t>
  </si>
  <si>
    <t>lokalno 7,5kW</t>
  </si>
  <si>
    <t>plečnikova hiša je od septembra 2013 v prenovi</t>
  </si>
  <si>
    <t>kotlovnica + el. bojler 2kW</t>
  </si>
  <si>
    <t>lokalno 13kW</t>
  </si>
  <si>
    <t>el. bojler 3x2kW</t>
  </si>
  <si>
    <t>ogrevanje z termoakumulacijskimi pečmi</t>
  </si>
  <si>
    <t>el. bojler 10x2kW</t>
  </si>
  <si>
    <t>okna, fasad, streha</t>
  </si>
  <si>
    <t>priklop na vročevod, hladilni agregat</t>
  </si>
  <si>
    <t>el. bojler 2x2kW</t>
  </si>
  <si>
    <t>centralno in lokalno 150kW</t>
  </si>
  <si>
    <t>56,1; 131</t>
  </si>
  <si>
    <t>centralno in lokalno 60kW</t>
  </si>
  <si>
    <t>kotlovnica + el. bojler 6x2kW, TČ 150kW</t>
  </si>
  <si>
    <t>ogrevanje, prezračevanje, hlajenje</t>
  </si>
  <si>
    <t>ogrevanje, prezračevanje, hlajenje (2009)</t>
  </si>
  <si>
    <t>stavba v postopku denacionalizacije</t>
  </si>
  <si>
    <t>180; 75; 138</t>
  </si>
  <si>
    <t>10 x el. bojler - ca. 145kW</t>
  </si>
  <si>
    <t>centralno in lokalno</t>
  </si>
  <si>
    <t>fasada, streha</t>
  </si>
  <si>
    <t>el. bojler 9x2kW</t>
  </si>
  <si>
    <t>predvidena obnova 2015</t>
  </si>
  <si>
    <t>480,41; 764,23</t>
  </si>
  <si>
    <t>centralno in lokalno 11 kW</t>
  </si>
  <si>
    <t>okna delno,fasada, streha</t>
  </si>
  <si>
    <t>nova TP, razsvetljava</t>
  </si>
  <si>
    <t>el. bojler 3x4kW</t>
  </si>
  <si>
    <t>lokalno 3kW</t>
  </si>
  <si>
    <t>9 x el. bojler 20kW</t>
  </si>
  <si>
    <t>okna, strha</t>
  </si>
  <si>
    <t>zamenjava TP 2014</t>
  </si>
  <si>
    <t>10 x el. bojler 20kW</t>
  </si>
  <si>
    <t>235; 697</t>
  </si>
  <si>
    <t>el. bojler 3 x 2kW</t>
  </si>
  <si>
    <t>TČ v letu 2014</t>
  </si>
  <si>
    <t>3 x 24</t>
  </si>
  <si>
    <t>el. bojler 2x2 kW</t>
  </si>
  <si>
    <t>okna leta 2014</t>
  </si>
  <si>
    <t>el. bojler 6x2 kW</t>
  </si>
  <si>
    <t>el. bojler 12x2 kW</t>
  </si>
  <si>
    <t>prezračevanje delno</t>
  </si>
  <si>
    <t>el. bojler 60kW</t>
  </si>
  <si>
    <t>okna, fasada, streha 2001</t>
  </si>
  <si>
    <t>priprava TSV</t>
  </si>
  <si>
    <t>fasada</t>
  </si>
  <si>
    <t>61; 125</t>
  </si>
  <si>
    <t>glej dvorana Zalog</t>
  </si>
  <si>
    <t>zaprta od leta 2010, deluje le knjižnica</t>
  </si>
  <si>
    <t>kotlovnica+el. bojler 2x5kW</t>
  </si>
  <si>
    <t>Lekarna pri Polikliniki</t>
  </si>
  <si>
    <t>ZD</t>
  </si>
  <si>
    <t>LEK</t>
  </si>
  <si>
    <t>KNJ</t>
  </si>
  <si>
    <t>GLED</t>
  </si>
  <si>
    <t>MUZ</t>
  </si>
  <si>
    <t>GALER</t>
  </si>
  <si>
    <t>UPRAVA</t>
  </si>
  <si>
    <t>ČETRT</t>
  </si>
  <si>
    <t>ŠOLA</t>
  </si>
  <si>
    <t>VRTEC</t>
  </si>
  <si>
    <t>Naslov</t>
  </si>
  <si>
    <t>DO 2008</t>
  </si>
  <si>
    <t>ZP 2008</t>
  </si>
  <si>
    <t>ELKO 2008</t>
  </si>
  <si>
    <t>EL OGR 2008</t>
  </si>
  <si>
    <t>UNP 2008</t>
  </si>
  <si>
    <t>ELEK 2008</t>
  </si>
  <si>
    <t>skupno 2008</t>
  </si>
  <si>
    <t>Podatki opomba</t>
  </si>
  <si>
    <t>ELEK</t>
  </si>
  <si>
    <t>DO 2007</t>
  </si>
  <si>
    <t>ZP 2007</t>
  </si>
  <si>
    <t>ELKO 2007</t>
  </si>
  <si>
    <t>EL OGR 2007</t>
  </si>
  <si>
    <t>UNP 2007</t>
  </si>
  <si>
    <t>ELEK 2007</t>
  </si>
  <si>
    <t>skupno 2007</t>
  </si>
  <si>
    <t>DO 2009</t>
  </si>
  <si>
    <t>DO 2010</t>
  </si>
  <si>
    <t>DO 2011</t>
  </si>
  <si>
    <t>DO 2012</t>
  </si>
  <si>
    <t>ZP 2009</t>
  </si>
  <si>
    <t>ZP 2010</t>
  </si>
  <si>
    <t>ZP 2011</t>
  </si>
  <si>
    <t>ZP 2012</t>
  </si>
  <si>
    <t>ELKO 2009</t>
  </si>
  <si>
    <t>ELKO 2010</t>
  </si>
  <si>
    <t>ELKO 2011</t>
  </si>
  <si>
    <t>ELKO 2012</t>
  </si>
  <si>
    <t>UNP 2009</t>
  </si>
  <si>
    <t>UNP 2010</t>
  </si>
  <si>
    <t>UNP 2011</t>
  </si>
  <si>
    <t>UNP 2012</t>
  </si>
  <si>
    <t>ELEK 2009</t>
  </si>
  <si>
    <t>ELEK 2010</t>
  </si>
  <si>
    <t>ELEK 2011</t>
  </si>
  <si>
    <t>ELEK 2012</t>
  </si>
  <si>
    <t>Ogrevana površina</t>
  </si>
  <si>
    <t>Leto gradnje oz. obnove</t>
  </si>
  <si>
    <t>spec raba 2007  SKUPNO</t>
  </si>
  <si>
    <t>spec raba 2008  ELEK</t>
  </si>
  <si>
    <t>spec raba 2008  SKUPNO</t>
  </si>
  <si>
    <t>DO  letno povprečje</t>
  </si>
  <si>
    <t>ZP letno povprečje</t>
  </si>
  <si>
    <t>ELKO letno povprečje</t>
  </si>
  <si>
    <t>UNP letno povprečje</t>
  </si>
  <si>
    <t>SKUPNO  letno povprečje</t>
  </si>
  <si>
    <t>Specifična raba OGREVANJE</t>
  </si>
  <si>
    <t>Specifična raba ELEK</t>
  </si>
  <si>
    <t>Specifična raba SKUPNA</t>
  </si>
  <si>
    <t xml:space="preserve">Ogrevna površina </t>
  </si>
  <si>
    <t>ukrepi v izvajanju</t>
  </si>
  <si>
    <t>NI OGR</t>
  </si>
  <si>
    <t>707kW 707 kW</t>
  </si>
  <si>
    <t>560 kW 284 kW</t>
  </si>
  <si>
    <t>304 kW</t>
  </si>
  <si>
    <t>543kW</t>
  </si>
  <si>
    <t>150kW</t>
  </si>
  <si>
    <t>2× pl.peč.</t>
  </si>
  <si>
    <t>732kW</t>
  </si>
  <si>
    <t>764 kW, 480 kW, 140 kW</t>
  </si>
  <si>
    <t>OGREVANJE letno povprečje</t>
  </si>
  <si>
    <t>Energ pregled</t>
  </si>
  <si>
    <t>Sklop pogodbeništva</t>
  </si>
  <si>
    <t>NP AN 2013</t>
  </si>
  <si>
    <t>NEP AN 2013</t>
  </si>
  <si>
    <t>AN 2013</t>
  </si>
  <si>
    <t>P ENERG</t>
  </si>
  <si>
    <t>5 lokalno</t>
  </si>
  <si>
    <t>lokalno 2,8</t>
  </si>
  <si>
    <t>centralno 200 kW</t>
  </si>
  <si>
    <t>Vodnikova domačija</t>
  </si>
  <si>
    <t>sklop A</t>
  </si>
  <si>
    <t>sklop B</t>
  </si>
  <si>
    <t>sklop C</t>
  </si>
  <si>
    <t>sklop D</t>
  </si>
  <si>
    <t>sklop E</t>
  </si>
  <si>
    <t>sklop G</t>
  </si>
  <si>
    <t>DA</t>
  </si>
  <si>
    <t>Leto energ. prenove</t>
  </si>
  <si>
    <t>sklop F</t>
  </si>
  <si>
    <t xml:space="preserve"> </t>
  </si>
  <si>
    <t>Leto 2015</t>
  </si>
  <si>
    <t>Leto 2016</t>
  </si>
  <si>
    <t>Leto 2017</t>
  </si>
  <si>
    <t>Leto 2018 -&gt;</t>
  </si>
  <si>
    <t>Podatki za leto 2008</t>
  </si>
  <si>
    <t>Podatki za leto 2007</t>
  </si>
  <si>
    <t>Podatki o kotlovnici in pripravi TSV</t>
  </si>
  <si>
    <t>Podatki o rabi toplotne energije in električne energije v obdobju 2009 do 2012</t>
  </si>
  <si>
    <t>Letno povprečje rabe energije</t>
  </si>
  <si>
    <t>Letno povprečje ogrevanje, EE</t>
  </si>
  <si>
    <t>Kazalniki</t>
  </si>
  <si>
    <t>Naziv objekta</t>
  </si>
  <si>
    <t>Tip objekta</t>
  </si>
  <si>
    <t>Kontaktna oseba</t>
  </si>
  <si>
    <t>Telefon</t>
  </si>
  <si>
    <t>ELEKTRIKA letno povprečje</t>
  </si>
  <si>
    <t>Doba vračanja v letih</t>
  </si>
  <si>
    <t>Doba vračila investicije</t>
  </si>
  <si>
    <t>MESTNA UPRAVA - center za informatiko</t>
  </si>
  <si>
    <t>MESTNA UPRAVA - Oddelek za gospodarske dejavnosti in promet</t>
  </si>
  <si>
    <t>MESTNA UPRAVA - Oddelek za urejanje prostora</t>
  </si>
  <si>
    <t>MESTNA UPRAVA - Mestno redarstvo, Inšpektorat</t>
  </si>
  <si>
    <t>MESTNA UPRAVA - Oddelek za lokalno samoupravo</t>
  </si>
  <si>
    <t>NE</t>
  </si>
  <si>
    <t>Vodnikova cesta 65</t>
  </si>
  <si>
    <t>ELKO+DO</t>
  </si>
  <si>
    <t>Naročen</t>
  </si>
  <si>
    <t>energent</t>
  </si>
  <si>
    <t>ukrep</t>
  </si>
  <si>
    <t>izolacija fasade</t>
  </si>
  <si>
    <t>menjava oken</t>
  </si>
  <si>
    <t>izolacija podstrešja</t>
  </si>
  <si>
    <t>ostalo</t>
  </si>
  <si>
    <t>cena v €/MWh</t>
  </si>
  <si>
    <t>strošek toplote v €</t>
  </si>
  <si>
    <t>strošek elektrike v €</t>
  </si>
  <si>
    <t>razsvetljava, upravljanje, kotlovnica, lokalna prezračevanja, termostatski ventili</t>
  </si>
  <si>
    <t>Ukrepi</t>
  </si>
  <si>
    <t>Organizacijski ukrep, sanacija kotlovnice, prezračevanje z rekuperacijo, energetsko upravljanje, termostatski ventili, izolacije cevovodov, sanacija razsvetljave, stavbno pohištvo, energetsko upravljanje, merilniki porabe energij</t>
  </si>
  <si>
    <t>Organizacijski ukrep, sanacija kotlovnice, prezračevanje z rekuperacijo, energetsko upravljanje, termostatski ventili, izolacije cevovodov, sanacija razsvetljave, stavbno pohištvo,  merilniki porabe energije</t>
  </si>
  <si>
    <t xml:space="preserve">termostatski ventili, energetsko upravljanje, hidravlično uravnoteženje, izolacija cevovodov, razsvetljava, vgradnja merilnikov energije, organizacijski ukrepi,  </t>
  </si>
  <si>
    <t>energetsko upravljanje, sanacija kotlovnice, termostatski ventili, izolacija cevovodov, hidravlično uravnoteženje cevovodov, vgradnja merilnikov porabe energije, razsvetljava</t>
  </si>
  <si>
    <t>organizacijski ukrepi, energetsko upravljanje, sanacija kotlovnice, prezračevanje z rekuperacijo, termostatski ventili s hidravličnim uravnoteženjem, razsvetljava, vgradnja merilnikov rabe energije</t>
  </si>
  <si>
    <t>organizacijski ukrepi, energetsko upravljanje, sanacija podpostaje, termostatski ventili s hidravličnim uravnoteženjem, razsvetljava, vgradnja merilnikov rabe energije</t>
  </si>
  <si>
    <t>energetsko upravljanje, sanacija kotlovnice, termostatski ventili, izolacija cevovodov, hidravlično uravnoteženje cevovodov, vgradnja merilnikov porabe energije</t>
  </si>
  <si>
    <t>energetsko upravljanje, termostatski ventili, izolacija cevovodov, hidravlično uravnoteženje cevovodov, vgradnja merilnikov porabe energije, razsvetljava</t>
  </si>
  <si>
    <t>energetsko upravljanje, sanacija toplotne podpostaje, termostatski ventili, izolacija cevovodov, hidravlično uravnoteženje cevovodov, vgradnja merilnikov porabe energije, razsvetljava</t>
  </si>
  <si>
    <t>energetsko upravljanje, sanacija toplotne podpostaje, termostatski ventili, izolacija cevovodov, hidravlično uravnoteženje cevovodov, vgradnja merilnikov porabe energije</t>
  </si>
  <si>
    <t>energetsko upravljanje, sanacija toplotne podpostaje termostatski ventili, izolacija cevovodov, hidravlično uravnoteženje cevovodov, vgradnja merilnikov porabe energije, razsvetljava delno</t>
  </si>
  <si>
    <t>energetsko upravljanje, sanacija kotlovnice, termostatski ventili, izolacija cevovodov, hidravlično uravnoteženje cevovodov, vgradnja merilnikov porabe energije, razsvetljava, priprava tople sanitarne vode</t>
  </si>
  <si>
    <t>energetsko upravljanje, sanacija toplotne podpostaje termostatski ventili, izolacija cevovodov, hidravlično uravnoteženje cevovodov, vgradnja merilnikov porabe energije</t>
  </si>
  <si>
    <t>energetsko upravljanje, termostatski ventili, soplotna podpostaja, izolacija cevovodov, hidravlično uravnoteženje cevovodov, vgradnja merilnikov porabe energije, razsvetljava</t>
  </si>
  <si>
    <t>energetsko upravljanje, termostatski ventili, izolacija cevovodov, hidravlično uravnoteženje cevovodov, vgradnja merilnikov porabe energije</t>
  </si>
  <si>
    <t>energetsko upravljanje, termostatski ventili, izolacija cevovodov, hidravlično uravnoteženje cevovodov, vgradnja merilnikov porabe energije, razsvetljava delno, toplotna podpostaja</t>
  </si>
  <si>
    <t>organizacijski ukrepi, energetsko upravljanje</t>
  </si>
  <si>
    <t>Organizacijski ukrep, energetsko upravljanje, sanacija razsvetljave, merilniki porabe energije, termostatski ventili, hidravlično uravnoteženje</t>
  </si>
  <si>
    <t>Organizacijski ukrepi, energetsko upravljanje, sanacija razsvetljave, merilniki porabe energije, termostatski ventili, hidravlično uravnoteženje</t>
  </si>
  <si>
    <t xml:space="preserve">energetsko upravljanje, termostatski ventili, regulacija, klimatizacija z rekuperacijo, merilniki porabe energije, zaščitna folija v dvigalu, hidravlično uravnoteženje, razsvetljava, </t>
  </si>
  <si>
    <t>energetsko upravljanje</t>
  </si>
  <si>
    <t xml:space="preserve">energetsko upravljanje, frekvenčno krmiljene črpalke, kolektorji - priprava TSV,prenova razsvetljave, </t>
  </si>
  <si>
    <t>energetsko upravljanje, CNS, toplotna izolacija sten-vila, prenova razsvetljave</t>
  </si>
  <si>
    <t>energetsko upravljanje, CNS, toplotna izolacija sten, termostatski ventili in hidravlično uravnoteženje, prenova razsvetljave, priprava TSV za kuhinjo</t>
  </si>
  <si>
    <t>energetsko upravljanje, CNS, prenova razsvetljave, termostatski ventili in hidravlično uravnoteženje, CNS</t>
  </si>
  <si>
    <t>energetsko upravljanje, toplotna izolacija proti podstrešju, frekvenčno krmiljene črpalke, termostatski ventili,prenova razsvetljave</t>
  </si>
  <si>
    <t>energetsko upravljanje, sanacija fasade, sanacija toplotne postaje, WC kotlički, sanacija razsvetljave</t>
  </si>
  <si>
    <t>energetsko upravljanje, sanacija razsvetljave, CNS</t>
  </si>
  <si>
    <t>energetsko upravljanje, izolacija ravne strehe, rekuperacija toplote v jedilnici, WC kotlički, sanacija razsvetljave</t>
  </si>
  <si>
    <t>energetsko upravljanje, zamenjava oken, termostatski ventili, WC kotlički, sanacija razsvetljave</t>
  </si>
  <si>
    <t>energetsko upravljanje, termostatski ventili, hidravlično uravnoteženje, priprava TSV, izolacija cevovodov, prezračevanje kuhinje, razsvetljava</t>
  </si>
  <si>
    <t>energetsko upravljanje, termostatski ventili, hidravlično uravnoteženje, priprava TSV, toplotna podpostaja, prezračevanje kuhinje, razsvetljava</t>
  </si>
  <si>
    <t>energetsko upravljanje, termostatski ventili, prenova toplotne podpostaje, hidraulično uravnoteženje, zalogovnik TSV, črpalke s fr. regulacijo, toplotna izolacija cevododov, prezračevanje kuhinje, prenova razsvetljave</t>
  </si>
  <si>
    <t>energetsko upravljanje, CNS, prenova razsvetljave, termostatski ventili in hidravlično uravnoteženje, CNS, kotlovnica</t>
  </si>
  <si>
    <t>energetsko upravljanje, priprava TSV, časovni senzorji razsvetljava, prezračevanje kuhinje, uravljanje</t>
  </si>
  <si>
    <t>energetsko upravljanje, prenova toplotne postaje, termostatski ventii, hidraulično uravnoteženje, obtočne črpalke s fr. regulacijo, prezračevanje kuhinje: ogled, prenova razsvetljave</t>
  </si>
  <si>
    <t>rušenje</t>
  </si>
  <si>
    <t>monitoring</t>
  </si>
  <si>
    <t>Sistem spremljanja rabe energije</t>
  </si>
  <si>
    <t>manjka</t>
  </si>
  <si>
    <t>Živalski vrt</t>
  </si>
  <si>
    <t>Večna pot 70</t>
  </si>
  <si>
    <t>ZOO</t>
  </si>
  <si>
    <t>Organizacijski ukrepi, energetsko upravljanje, sanacija razsvetljave, merilniki porabe energije, sanacija kotlovnice</t>
  </si>
  <si>
    <t>Upravljanje</t>
  </si>
  <si>
    <t xml:space="preserve">Kotlovnica oz. toplotna </t>
  </si>
  <si>
    <t>Razsvetljava</t>
  </si>
  <si>
    <t>upravljanje</t>
  </si>
  <si>
    <t>prenova kotlovnice/TP</t>
  </si>
  <si>
    <t>Izolacija fasade</t>
  </si>
  <si>
    <t>Menjava oken</t>
  </si>
  <si>
    <t>Izolacija podstrešja</t>
  </si>
  <si>
    <t>Ostalo</t>
  </si>
  <si>
    <t>faktor prihranka</t>
  </si>
  <si>
    <t>cena/m2</t>
  </si>
  <si>
    <t>Vrste investicijskih posegov</t>
  </si>
  <si>
    <t>Višina  pogodbeništva v €</t>
  </si>
  <si>
    <t>Višina prihranka v €</t>
  </si>
  <si>
    <t>kotlovnica/TP</t>
  </si>
  <si>
    <t>Odplačevanje (90% prihranka gre pogodbeniku)</t>
  </si>
  <si>
    <t>Ukrepi pogodbenik</t>
  </si>
  <si>
    <t>Ukrepi MOL</t>
  </si>
  <si>
    <t>Dodatni ukrepi MOL v primeru pogodbeništva</t>
  </si>
  <si>
    <t>Ukrepi MOL v primeru pogodbeništva</t>
  </si>
  <si>
    <t>Ukrepi MOL brez pogodbeništva</t>
  </si>
  <si>
    <t>Minimalni ukrepi MOL brez pogodbeništva</t>
  </si>
  <si>
    <t>Vrednost minimalnih ukrepov MOL v € brez pogodbeništva</t>
  </si>
  <si>
    <t xml:space="preserve">Vrednost dodatnih ukrepov MOL v € </t>
  </si>
  <si>
    <t>Vrednost ukrepov Mol brez pogodbeništva, razporejeni na obdobje 4 let</t>
  </si>
  <si>
    <t>1.</t>
  </si>
  <si>
    <t>Tone Kadunc</t>
  </si>
  <si>
    <t>040 729183</t>
  </si>
  <si>
    <t>patronaža</t>
  </si>
  <si>
    <t>01 2809362</t>
  </si>
  <si>
    <t>Bogomir Golubovič</t>
  </si>
  <si>
    <t>031 411626</t>
  </si>
  <si>
    <t>Burmen Robert</t>
  </si>
  <si>
    <t>031 411588</t>
  </si>
  <si>
    <t>Rifet Jakupovič</t>
  </si>
  <si>
    <t>031 641850</t>
  </si>
  <si>
    <t>Vidic Miro</t>
  </si>
  <si>
    <t>031 411600</t>
  </si>
  <si>
    <t>Škof Janez</t>
  </si>
  <si>
    <t>041 318463</t>
  </si>
  <si>
    <t>Ludvik Dremelj</t>
  </si>
  <si>
    <t>051 390387</t>
  </si>
  <si>
    <t>Robert Polc</t>
  </si>
  <si>
    <t>040 856123</t>
  </si>
  <si>
    <t>Juvan Igor</t>
  </si>
  <si>
    <t>051 655540</t>
  </si>
  <si>
    <t xml:space="preserve">ZD Ljubljana - Center </t>
  </si>
  <si>
    <t>ZD Ljubljana -  Center - Dispanzer za zobozdravstveno varstvo odraslih</t>
  </si>
  <si>
    <t>ZD Ljubljana - Center - Dispanzer za zobozdravstveno varstvo šolskih otrok in mladine</t>
  </si>
  <si>
    <t>ZD Ljubljana -  Moste Polje - enota PE Fužine</t>
  </si>
  <si>
    <t>ZD Ljubljana - Vič - enota PE Rudnik</t>
  </si>
  <si>
    <t>ZD Ljubljana - Šentvid</t>
  </si>
  <si>
    <t>ZD Ljubljana - Šiška</t>
  </si>
  <si>
    <t>ZD Ljubljana -  Moste Polje - enota PE Jarše</t>
  </si>
  <si>
    <t>ZD Ljubljana -  Moste Polje - enota PE Polje</t>
  </si>
  <si>
    <t>ZD Ljubljana -  Moste Polje</t>
  </si>
  <si>
    <t>ZD Ljubljana - Bežigrad - patronaža</t>
  </si>
  <si>
    <t>ZD Ljubljana - Bežigrad - enota PE Črnuče</t>
  </si>
  <si>
    <t>Izločeni objekti</t>
  </si>
  <si>
    <t>ŠPORTNI PARK KODELJEVO</t>
  </si>
  <si>
    <t>Milčinskega</t>
  </si>
  <si>
    <t>DVORANA LJUBLJANA ŽAK</t>
  </si>
  <si>
    <t>Energetsko knjigovodstvo
1./2./3./4.
pogodba</t>
  </si>
  <si>
    <t>CINDI</t>
  </si>
  <si>
    <t>Ulica stare pravde 2</t>
  </si>
  <si>
    <t>ozaveščanje, kompenzacija jalove energije, časovna stikala, CNS, solarni sistem</t>
  </si>
  <si>
    <t>ozaveščanje, kompenzacija jalove energije, izolacija cevovodov, CNS, solarni sistem, izolacija podstrehe, časovna stikala, toplotna postaja</t>
  </si>
  <si>
    <t>senzorji prisotnosti, termostatski ventili in uravnoteženje, frekvenčne črpalke, kompenzacija jalove energije, izolacija cevovodov, CNS, solarni sistem</t>
  </si>
  <si>
    <t>senzorji prisotnosti, izolacija podstrešja, toplotna podpostaja, razsvetljava, kompenzacija jalove energije, izolacija cevovodov, CNS, solarni sistem</t>
  </si>
  <si>
    <t>ELKO+ZP</t>
  </si>
  <si>
    <t>izolacija podstrešja, termostatski ventili in uravnoteženje, kotlovnica, CNS, toplotna črpalka-klimatizacija</t>
  </si>
  <si>
    <t>lokalno: 10 + 50 l</t>
  </si>
  <si>
    <t>kotlonica - 2000 l</t>
  </si>
  <si>
    <t xml:space="preserve">CNS, ovoj, kotlovnica, razsvetljava, </t>
  </si>
  <si>
    <t>CNS, izolacija podstrešja, razsvetljava</t>
  </si>
  <si>
    <t>NP</t>
  </si>
  <si>
    <t>383+166</t>
  </si>
  <si>
    <t>organizacijski ukrepi, energetsko upravljanje, sanacija toplotne podpostaje, prezračevanje z rekuperacijo, izolacija cevovodov, zamenjava plinskega kotla, sanacija ovoja, vgradnja toplotne črpalke,  termostatski ventili s hidravličnim uravnoteženjem, razsvetljava, ureditev prezračevanja</t>
  </si>
  <si>
    <t>290+350</t>
  </si>
  <si>
    <t>organizacijski ukrepi, razsvetljava, sanacije na ovoju, CNS</t>
  </si>
  <si>
    <t>ukrepi so navedeni pri stadionu</t>
  </si>
  <si>
    <t>energetsko upravljanje, priprava TSV, izolacija cevovodov, hidravlično uravnoteženje cevovodov, razsvetljava</t>
  </si>
  <si>
    <t>prenova 2014, upravljanje</t>
  </si>
  <si>
    <t>kotlarna OŠ Maksa Pečarja</t>
  </si>
  <si>
    <t>208+38</t>
  </si>
  <si>
    <t>3x100</t>
  </si>
  <si>
    <t>5x100</t>
  </si>
  <si>
    <t>energetsko upravljanje, termostatski ventili, hidravlično uravnoteženje, priprava TSV, toplotna postaja, razsvetljava</t>
  </si>
  <si>
    <t>energetsko upravljanje, termostatski ventili in hidravlično uravnoteženje, izolacija ovoja stavbe</t>
  </si>
  <si>
    <t>energetsko upravljanje, hidravlično uravnoteženje, priprava TSV, razsvetljava</t>
  </si>
  <si>
    <t>1974, 2004</t>
  </si>
  <si>
    <t>energetsko upravljanje, sanacija podstrešja,  priprava TSV, toplotna podpostaja, razsvetljava</t>
  </si>
  <si>
    <t>241+94</t>
  </si>
  <si>
    <t>energetsko upravljanje, hidravlično uravnoteženje, priprava TSV, razsvetljava, izolacija cevovodov, toplotna postaja</t>
  </si>
  <si>
    <t>Mestna uprava mol - JSS, OVOo, OZRCO, MKL</t>
  </si>
  <si>
    <t>ČETRTNA SKUPNOST ČRNUČE + MKL</t>
  </si>
  <si>
    <t>ČETRT MKL</t>
  </si>
  <si>
    <t>Knjižnica Jožeta Mazovca (kompleks Španski Borci)</t>
  </si>
  <si>
    <t>zadobrovška cesta 1</t>
  </si>
  <si>
    <t>Devinska ulica 1 B</t>
  </si>
  <si>
    <t>Gorazdova ulica 19</t>
  </si>
  <si>
    <t>Gorazdova ulica 6</t>
  </si>
  <si>
    <t>MKL Ljubljana/Knjižnica Jožeta Mazovca - Enota Fužine in četrtna skupnost  Moste</t>
  </si>
  <si>
    <t>KNJ ČS</t>
  </si>
  <si>
    <t>MKL Ljubljana/Knjižnica Šiška - Enota Šentvid - prenovljena</t>
  </si>
  <si>
    <t>MKL Ljubljana/Knjižnica Šiška - Enota Gameljne in ČS</t>
  </si>
  <si>
    <t>MKL Ljubljana enota Šiška  - NOVA</t>
  </si>
  <si>
    <t>ČS Trnovo ??????</t>
  </si>
</sst>
</file>

<file path=xl/styles.xml><?xml version="1.0" encoding="utf-8"?>
<styleSheet xmlns="http://schemas.openxmlformats.org/spreadsheetml/2006/main">
  <numFmts count="5">
    <numFmt numFmtId="43" formatCode="_-* #,##0.00\ _€_-;\-* #,##0.00\ _€_-;_-* &quot;-&quot;??\ _€_-;_-@_-"/>
    <numFmt numFmtId="164" formatCode="0.0"/>
    <numFmt numFmtId="165" formatCode="_-* #,##0\ _€_-;\-* #,##0\ _€_-;_-* &quot;-&quot;??\ _€_-;_-@_-"/>
    <numFmt numFmtId="166" formatCode="#,##0.0"/>
    <numFmt numFmtId="167" formatCode="_-* #,##0.0\ _€_-;\-* #,##0.0\ _€_-;_-* &quot;-&quot;??\ _€_-;_-@_-"/>
  </numFmts>
  <fonts count="26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FFFF00"/>
      <name val="Arial"/>
      <family val="2"/>
      <charset val="238"/>
    </font>
    <font>
      <sz val="9"/>
      <color rgb="FF00B050"/>
      <name val="Arial"/>
      <family val="2"/>
      <charset val="238"/>
    </font>
    <font>
      <sz val="9"/>
      <color theme="7" tint="-0.249977111117893"/>
      <name val="Arial"/>
      <family val="2"/>
      <charset val="238"/>
    </font>
    <font>
      <sz val="9"/>
      <color rgb="FF00B0F0"/>
      <name val="Arial"/>
      <family val="2"/>
      <charset val="238"/>
    </font>
    <font>
      <sz val="9"/>
      <color theme="9" tint="-0.499984740745262"/>
      <name val="Arial"/>
      <family val="2"/>
      <charset val="238"/>
    </font>
    <font>
      <sz val="16"/>
      <name val="Arial"/>
      <family val="2"/>
      <charset val="238"/>
    </font>
    <font>
      <b/>
      <sz val="9"/>
      <color rgb="FF00B050"/>
      <name val="Arial"/>
      <family val="2"/>
      <charset val="238"/>
    </font>
    <font>
      <sz val="11"/>
      <color rgb="FFFA7D00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rgb="FFFA7D00"/>
      <name val="Calibri"/>
      <family val="2"/>
      <charset val="238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990099"/>
        <bgColor indexed="64"/>
      </patternFill>
    </fill>
    <fill>
      <patternFill patternType="solid">
        <fgColor rgb="FF0099CC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CC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 applyBorder="0"/>
    <xf numFmtId="0" fontId="3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23" fillId="0" borderId="6" applyNumberFormat="0" applyFill="0" applyAlignment="0" applyProtection="0"/>
  </cellStyleXfs>
  <cellXfs count="163">
    <xf numFmtId="0" fontId="0" fillId="0" borderId="0" xfId="0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65" fontId="9" fillId="0" borderId="1" xfId="4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shrinkToFit="1"/>
    </xf>
    <xf numFmtId="3" fontId="10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4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5" fontId="9" fillId="0" borderId="0" xfId="4" applyNumberFormat="1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4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4" fontId="10" fillId="5" borderId="1" xfId="0" applyNumberFormat="1" applyFont="1" applyFill="1" applyBorder="1" applyAlignment="1">
      <alignment horizontal="center" vertical="center"/>
    </xf>
    <xf numFmtId="164" fontId="9" fillId="5" borderId="1" xfId="0" applyNumberFormat="1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 wrapText="1"/>
    </xf>
    <xf numFmtId="3" fontId="9" fillId="5" borderId="1" xfId="0" applyNumberFormat="1" applyFont="1" applyFill="1" applyBorder="1" applyAlignment="1">
      <alignment horizontal="center" vertical="center"/>
    </xf>
    <xf numFmtId="4" fontId="9" fillId="6" borderId="1" xfId="0" applyNumberFormat="1" applyFont="1" applyFill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0" borderId="1" xfId="3" applyFont="1" applyFill="1" applyBorder="1" applyAlignment="1" applyProtection="1">
      <alignment horizontal="left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/>
    </xf>
    <xf numFmtId="4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center" vertical="center" wrapText="1"/>
    </xf>
    <xf numFmtId="9" fontId="9" fillId="4" borderId="1" xfId="1" applyFont="1" applyFill="1" applyBorder="1" applyAlignment="1">
      <alignment horizontal="center" vertical="center"/>
    </xf>
    <xf numFmtId="4" fontId="9" fillId="7" borderId="1" xfId="0" applyNumberFormat="1" applyFont="1" applyFill="1" applyBorder="1" applyAlignment="1">
      <alignment horizontal="center" vertical="center"/>
    </xf>
    <xf numFmtId="4" fontId="10" fillId="7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166" fontId="9" fillId="8" borderId="1" xfId="0" applyNumberFormat="1" applyFont="1" applyFill="1" applyBorder="1" applyAlignment="1">
      <alignment horizontal="center" vertical="center"/>
    </xf>
    <xf numFmtId="4" fontId="8" fillId="8" borderId="1" xfId="0" applyNumberFormat="1" applyFont="1" applyFill="1" applyBorder="1" applyAlignment="1">
      <alignment horizontal="center" vertical="center"/>
    </xf>
    <xf numFmtId="165" fontId="9" fillId="8" borderId="1" xfId="4" applyNumberFormat="1" applyFont="1" applyFill="1" applyBorder="1" applyAlignment="1">
      <alignment horizontal="center" vertical="center"/>
    </xf>
    <xf numFmtId="165" fontId="8" fillId="8" borderId="1" xfId="4" applyNumberFormat="1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center"/>
    </xf>
    <xf numFmtId="1" fontId="9" fillId="7" borderId="1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/>
    </xf>
    <xf numFmtId="1" fontId="8" fillId="0" borderId="1" xfId="2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 applyProtection="1">
      <alignment horizontal="left" vertical="center"/>
      <protection locked="0"/>
    </xf>
    <xf numFmtId="0" fontId="9" fillId="0" borderId="1" xfId="0" applyFont="1" applyFill="1" applyBorder="1" applyAlignment="1" applyProtection="1">
      <alignment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" fontId="8" fillId="2" borderId="1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 wrapText="1"/>
    </xf>
    <xf numFmtId="0" fontId="8" fillId="2" borderId="1" xfId="0" applyFont="1" applyFill="1" applyBorder="1" applyAlignment="1" applyProtection="1">
      <alignment horizontal="left" vertical="center" wrapText="1"/>
    </xf>
    <xf numFmtId="3" fontId="8" fillId="2" borderId="1" xfId="0" applyNumberFormat="1" applyFont="1" applyFill="1" applyBorder="1" applyAlignment="1" applyProtection="1">
      <alignment horizontal="center" vertical="center" wrapText="1"/>
    </xf>
    <xf numFmtId="165" fontId="8" fillId="2" borderId="1" xfId="4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167" fontId="9" fillId="0" borderId="1" xfId="4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165" fontId="9" fillId="0" borderId="1" xfId="4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/>
    </xf>
    <xf numFmtId="0" fontId="9" fillId="7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left" vertical="center"/>
    </xf>
    <xf numFmtId="0" fontId="14" fillId="0" borderId="1" xfId="0" applyFont="1" applyFill="1" applyBorder="1" applyAlignment="1">
      <alignment vertical="center"/>
    </xf>
    <xf numFmtId="0" fontId="15" fillId="7" borderId="1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/>
    </xf>
    <xf numFmtId="0" fontId="20" fillId="7" borderId="1" xfId="0" applyFont="1" applyFill="1" applyBorder="1" applyAlignment="1">
      <alignment horizontal="center" vertical="center"/>
    </xf>
    <xf numFmtId="0" fontId="8" fillId="14" borderId="1" xfId="0" applyFont="1" applyFill="1" applyBorder="1" applyAlignment="1" applyProtection="1">
      <alignment horizontal="center" vertical="center" textRotation="90" wrapText="1"/>
    </xf>
    <xf numFmtId="0" fontId="8" fillId="14" borderId="2" xfId="0" applyFont="1" applyFill="1" applyBorder="1" applyAlignment="1" applyProtection="1">
      <alignment horizontal="center" vertical="center" wrapText="1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1" fillId="0" borderId="0" xfId="0" applyFont="1"/>
    <xf numFmtId="0" fontId="21" fillId="2" borderId="1" xfId="0" applyFont="1" applyFill="1" applyBorder="1" applyAlignment="1">
      <alignment horizontal="left"/>
    </xf>
    <xf numFmtId="0" fontId="21" fillId="2" borderId="1" xfId="0" applyFont="1" applyFill="1" applyBorder="1" applyAlignment="1">
      <alignment horizontal="center"/>
    </xf>
    <xf numFmtId="0" fontId="21" fillId="0" borderId="1" xfId="0" applyFont="1" applyBorder="1" applyAlignment="1">
      <alignment horizontal="left"/>
    </xf>
    <xf numFmtId="0" fontId="21" fillId="0" borderId="1" xfId="0" applyFont="1" applyBorder="1" applyAlignment="1">
      <alignment horizontal="center"/>
    </xf>
    <xf numFmtId="0" fontId="21" fillId="0" borderId="1" xfId="0" applyFont="1" applyFill="1" applyBorder="1" applyAlignment="1">
      <alignment horizontal="left"/>
    </xf>
    <xf numFmtId="0" fontId="21" fillId="0" borderId="1" xfId="0" applyFont="1" applyFill="1" applyBorder="1" applyAlignment="1">
      <alignment horizontal="center"/>
    </xf>
    <xf numFmtId="1" fontId="11" fillId="5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Font="1" applyFill="1" applyBorder="1" applyAlignment="1" applyProtection="1">
      <alignment horizontal="center" vertical="center" textRotation="90" wrapText="1"/>
    </xf>
    <xf numFmtId="0" fontId="8" fillId="15" borderId="2" xfId="0" applyFont="1" applyFill="1" applyBorder="1" applyAlignment="1" applyProtection="1">
      <alignment horizontal="center" vertical="center" textRotation="90" wrapText="1"/>
    </xf>
    <xf numFmtId="0" fontId="8" fillId="15" borderId="1" xfId="0" applyFont="1" applyFill="1" applyBorder="1" applyAlignment="1" applyProtection="1">
      <alignment horizontal="center" vertical="center" textRotation="90" wrapText="1"/>
    </xf>
    <xf numFmtId="0" fontId="21" fillId="0" borderId="1" xfId="0" applyFont="1" applyBorder="1"/>
    <xf numFmtId="0" fontId="22" fillId="16" borderId="1" xfId="0" applyFont="1" applyFill="1" applyBorder="1" applyAlignment="1" applyProtection="1">
      <alignment horizontal="center" vertical="center" textRotation="90" wrapText="1"/>
    </xf>
    <xf numFmtId="0" fontId="22" fillId="16" borderId="2" xfId="0" applyFont="1" applyFill="1" applyBorder="1" applyAlignment="1" applyProtection="1">
      <alignment horizontal="center" vertical="center" textRotation="90" wrapText="1"/>
    </xf>
    <xf numFmtId="0" fontId="22" fillId="16" borderId="4" xfId="0" applyFont="1" applyFill="1" applyBorder="1" applyAlignment="1" applyProtection="1">
      <alignment horizontal="center" vertical="center" textRotation="90" wrapText="1"/>
    </xf>
    <xf numFmtId="167" fontId="22" fillId="16" borderId="1" xfId="4" applyNumberFormat="1" applyFont="1" applyFill="1" applyBorder="1" applyAlignment="1" applyProtection="1">
      <alignment horizontal="center" vertical="center" textRotation="90" wrapText="1"/>
    </xf>
    <xf numFmtId="0" fontId="8" fillId="10" borderId="1" xfId="0" applyFont="1" applyFill="1" applyBorder="1" applyAlignment="1" applyProtection="1">
      <alignment horizontal="center" vertical="center" textRotation="90" wrapText="1"/>
    </xf>
    <xf numFmtId="165" fontId="11" fillId="0" borderId="0" xfId="4" applyNumberFormat="1" applyFont="1" applyFill="1" applyBorder="1" applyAlignment="1">
      <alignment horizontal="center" vertical="center"/>
    </xf>
    <xf numFmtId="0" fontId="11" fillId="10" borderId="5" xfId="0" applyFont="1" applyFill="1" applyBorder="1" applyAlignment="1">
      <alignment horizontal="center" vertical="center"/>
    </xf>
    <xf numFmtId="0" fontId="11" fillId="10" borderId="7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center"/>
    </xf>
    <xf numFmtId="165" fontId="15" fillId="0" borderId="1" xfId="4" applyNumberFormat="1" applyFont="1" applyFill="1" applyBorder="1" applyAlignment="1">
      <alignment horizontal="center" vertical="center"/>
    </xf>
    <xf numFmtId="4" fontId="15" fillId="3" borderId="1" xfId="0" applyNumberFormat="1" applyFont="1" applyFill="1" applyBorder="1" applyAlignment="1">
      <alignment horizontal="center" vertical="center"/>
    </xf>
    <xf numFmtId="165" fontId="15" fillId="8" borderId="1" xfId="4" applyNumberFormat="1" applyFont="1" applyFill="1" applyBorder="1" applyAlignment="1">
      <alignment horizontal="center" vertical="center"/>
    </xf>
    <xf numFmtId="166" fontId="15" fillId="8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left" vertical="center"/>
    </xf>
    <xf numFmtId="167" fontId="15" fillId="0" borderId="1" xfId="4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0" fontId="8" fillId="18" borderId="1" xfId="0" applyFont="1" applyFill="1" applyBorder="1" applyAlignment="1">
      <alignment vertical="center"/>
    </xf>
    <xf numFmtId="0" fontId="8" fillId="18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right"/>
    </xf>
    <xf numFmtId="43" fontId="15" fillId="0" borderId="1" xfId="4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/>
    </xf>
    <xf numFmtId="165" fontId="25" fillId="2" borderId="1" xfId="5" applyNumberFormat="1" applyFont="1" applyFill="1" applyBorder="1" applyAlignment="1">
      <alignment horizontal="center"/>
    </xf>
    <xf numFmtId="165" fontId="25" fillId="0" borderId="1" xfId="5" applyNumberFormat="1" applyFont="1" applyFill="1" applyBorder="1" applyAlignment="1">
      <alignment horizontal="center"/>
    </xf>
    <xf numFmtId="0" fontId="9" fillId="19" borderId="1" xfId="0" applyFont="1" applyFill="1" applyBorder="1" applyAlignment="1">
      <alignment horizontal="left" vertical="center"/>
    </xf>
    <xf numFmtId="0" fontId="9" fillId="9" borderId="1" xfId="0" applyFont="1" applyFill="1" applyBorder="1" applyAlignment="1">
      <alignment horizontal="left" vertical="center"/>
    </xf>
    <xf numFmtId="0" fontId="9" fillId="20" borderId="1" xfId="0" applyFont="1" applyFill="1" applyBorder="1" applyAlignment="1">
      <alignment horizontal="left" vertical="center"/>
    </xf>
    <xf numFmtId="0" fontId="9" fillId="20" borderId="1" xfId="0" applyFont="1" applyFill="1" applyBorder="1" applyAlignment="1">
      <alignment horizontal="left"/>
    </xf>
    <xf numFmtId="0" fontId="9" fillId="17" borderId="1" xfId="0" applyFont="1" applyFill="1" applyBorder="1" applyAlignment="1">
      <alignment horizontal="left" vertical="center"/>
    </xf>
    <xf numFmtId="0" fontId="9" fillId="21" borderId="1" xfId="0" applyFont="1" applyFill="1" applyBorder="1" applyAlignment="1">
      <alignment horizontal="left" vertical="center"/>
    </xf>
    <xf numFmtId="0" fontId="9" fillId="19" borderId="1" xfId="0" applyFont="1" applyFill="1" applyBorder="1" applyAlignment="1">
      <alignment vertical="center"/>
    </xf>
    <xf numFmtId="0" fontId="9" fillId="22" borderId="1" xfId="0" applyFont="1" applyFill="1" applyBorder="1" applyAlignment="1">
      <alignment horizontal="left" vertical="center"/>
    </xf>
    <xf numFmtId="0" fontId="9" fillId="23" borderId="1" xfId="0" applyFont="1" applyFill="1" applyBorder="1" applyAlignment="1">
      <alignment horizontal="left" vertical="center"/>
    </xf>
    <xf numFmtId="0" fontId="9" fillId="23" borderId="1" xfId="0" applyFont="1" applyFill="1" applyBorder="1" applyAlignment="1">
      <alignment vertical="center"/>
    </xf>
    <xf numFmtId="0" fontId="9" fillId="24" borderId="1" xfId="0" applyFont="1" applyFill="1" applyBorder="1" applyAlignment="1">
      <alignment horizontal="left" vertical="center"/>
    </xf>
    <xf numFmtId="0" fontId="9" fillId="25" borderId="1" xfId="0" applyFont="1" applyFill="1" applyBorder="1" applyAlignment="1">
      <alignment horizontal="left" vertical="center"/>
    </xf>
    <xf numFmtId="0" fontId="9" fillId="26" borderId="1" xfId="0" applyFont="1" applyFill="1" applyBorder="1" applyAlignment="1">
      <alignment horizontal="left" vertical="center"/>
    </xf>
    <xf numFmtId="0" fontId="9" fillId="27" borderId="1" xfId="0" applyFont="1" applyFill="1" applyBorder="1" applyAlignment="1">
      <alignment horizontal="left" vertical="center"/>
    </xf>
    <xf numFmtId="0" fontId="9" fillId="28" borderId="1" xfId="0" applyFont="1" applyFill="1" applyBorder="1" applyAlignment="1">
      <alignment horizontal="left" vertical="center"/>
    </xf>
    <xf numFmtId="0" fontId="9" fillId="29" borderId="1" xfId="0" applyFont="1" applyFill="1" applyBorder="1" applyAlignment="1">
      <alignment horizontal="left" vertical="center"/>
    </xf>
    <xf numFmtId="0" fontId="9" fillId="29" borderId="1" xfId="0" applyFont="1" applyFill="1" applyBorder="1" applyAlignment="1">
      <alignment vertical="center"/>
    </xf>
    <xf numFmtId="0" fontId="9" fillId="30" borderId="1" xfId="0" applyFont="1" applyFill="1" applyBorder="1" applyAlignment="1">
      <alignment vertical="center"/>
    </xf>
    <xf numFmtId="0" fontId="9" fillId="31" borderId="1" xfId="0" applyFont="1" applyFill="1" applyBorder="1" applyAlignment="1">
      <alignment horizontal="left" vertical="center"/>
    </xf>
    <xf numFmtId="0" fontId="9" fillId="31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/>
    </xf>
    <xf numFmtId="0" fontId="9" fillId="18" borderId="1" xfId="0" applyFont="1" applyFill="1" applyBorder="1" applyAlignment="1">
      <alignment vertical="center"/>
    </xf>
    <xf numFmtId="0" fontId="9" fillId="18" borderId="1" xfId="0" applyFont="1" applyFill="1" applyBorder="1" applyAlignment="1">
      <alignment horizontal="left" vertical="center"/>
    </xf>
    <xf numFmtId="1" fontId="11" fillId="5" borderId="2" xfId="0" applyNumberFormat="1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4" fontId="11" fillId="5" borderId="5" xfId="0" applyNumberFormat="1" applyFont="1" applyFill="1" applyBorder="1" applyAlignment="1">
      <alignment horizontal="center" vertical="center"/>
    </xf>
    <xf numFmtId="4" fontId="11" fillId="6" borderId="5" xfId="0" applyNumberFormat="1" applyFont="1" applyFill="1" applyBorder="1" applyAlignment="1">
      <alignment horizontal="center" vertical="center"/>
    </xf>
    <xf numFmtId="0" fontId="11" fillId="12" borderId="5" xfId="0" applyFont="1" applyFill="1" applyBorder="1" applyAlignment="1">
      <alignment horizontal="center" vertical="center" wrapText="1"/>
    </xf>
    <xf numFmtId="4" fontId="11" fillId="11" borderId="5" xfId="0" applyNumberFormat="1" applyFont="1" applyFill="1" applyBorder="1" applyAlignment="1">
      <alignment horizontal="center" vertical="center"/>
    </xf>
    <xf numFmtId="4" fontId="11" fillId="4" borderId="5" xfId="0" applyNumberFormat="1" applyFont="1" applyFill="1" applyBorder="1" applyAlignment="1">
      <alignment horizontal="center" vertical="center"/>
    </xf>
    <xf numFmtId="4" fontId="11" fillId="12" borderId="5" xfId="0" applyNumberFormat="1" applyFont="1" applyFill="1" applyBorder="1" applyAlignment="1">
      <alignment horizontal="center" vertical="center"/>
    </xf>
    <xf numFmtId="0" fontId="11" fillId="13" borderId="5" xfId="0" applyFont="1" applyFill="1" applyBorder="1" applyAlignment="1">
      <alignment horizontal="center" vertical="center"/>
    </xf>
    <xf numFmtId="0" fontId="11" fillId="10" borderId="5" xfId="0" applyFont="1" applyFill="1" applyBorder="1" applyAlignment="1">
      <alignment horizontal="center" vertical="center"/>
    </xf>
    <xf numFmtId="0" fontId="11" fillId="9" borderId="5" xfId="0" applyFont="1" applyFill="1" applyBorder="1" applyAlignment="1">
      <alignment horizontal="center" vertical="center"/>
    </xf>
    <xf numFmtId="0" fontId="11" fillId="12" borderId="5" xfId="0" applyFont="1" applyFill="1" applyBorder="1" applyAlignment="1">
      <alignment horizontal="center" vertical="center"/>
    </xf>
    <xf numFmtId="0" fontId="11" fillId="17" borderId="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</cellXfs>
  <cellStyles count="6">
    <cellStyle name="Comma" xfId="4" builtinId="3"/>
    <cellStyle name="Hyperlink" xfId="3" builtinId="8"/>
    <cellStyle name="Linked Cell" xfId="5" builtinId="24"/>
    <cellStyle name="Normal" xfId="0" builtinId="0"/>
    <cellStyle name="Normal_Sheet1 (3)" xfId="2"/>
    <cellStyle name="Percent" xfId="1" builtinId="5"/>
  </cellStyles>
  <dxfs count="1">
    <dxf>
      <fill>
        <patternFill patternType="solid">
          <fgColor rgb="FF8DB4E3"/>
          <bgColor rgb="FF000000"/>
        </patternFill>
      </fill>
    </dxf>
  </dxfs>
  <tableStyles count="0" defaultTableStyle="TableStyleMedium2" defaultPivotStyle="PivotStyleLight16"/>
  <colors>
    <mruColors>
      <color rgb="FF0099CC"/>
      <color rgb="FF00CC00"/>
      <color rgb="FFFFCCCC"/>
      <color rgb="FF993300"/>
      <color rgb="FF990099"/>
      <color rgb="FFFF66FF"/>
      <color rgb="FFFF9900"/>
      <color rgb="FFFF0066"/>
      <color rgb="FF33CC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CX458"/>
  <sheetViews>
    <sheetView showGridLines="0" tabSelected="1" zoomScaleNormal="100" zoomScaleSheetLayoutView="71" workbookViewId="0">
      <pane xSplit="1" ySplit="2" topLeftCell="B3" activePane="bottomRight" state="frozenSplit"/>
      <selection pane="topRight" activeCell="BC1" sqref="BC1"/>
      <selection pane="bottomLeft" activeCell="A16" sqref="A16"/>
      <selection pane="bottomRight" activeCell="B3" sqref="A3:CP334"/>
    </sheetView>
  </sheetViews>
  <sheetFormatPr defaultRowHeight="12"/>
  <cols>
    <col min="1" max="1" width="46.5703125" style="22" customWidth="1"/>
    <col min="2" max="2" width="31.140625" style="17" customWidth="1"/>
    <col min="3" max="3" width="8.7109375" style="17" hidden="1" customWidth="1"/>
    <col min="4" max="4" width="8.28515625" style="17" hidden="1" customWidth="1"/>
    <col min="5" max="5" width="7" style="10" customWidth="1"/>
    <col min="6" max="6" width="5.5703125" style="10" hidden="1" customWidth="1"/>
    <col min="7" max="7" width="8.28515625" style="10" hidden="1" customWidth="1"/>
    <col min="8" max="8" width="8.42578125" style="10" customWidth="1"/>
    <col min="9" max="9" width="6.85546875" style="10" hidden="1" customWidth="1"/>
    <col min="10" max="10" width="8.28515625" style="10" hidden="1" customWidth="1"/>
    <col min="11" max="11" width="14.85546875" style="10" hidden="1" customWidth="1"/>
    <col min="12" max="12" width="7.5703125" style="49" hidden="1" customWidth="1"/>
    <col min="13" max="13" width="9.140625" style="17" customWidth="1"/>
    <col min="14" max="20" width="8.140625" style="18" hidden="1" customWidth="1"/>
    <col min="21" max="22" width="8.140625" style="17" hidden="1" customWidth="1"/>
    <col min="23" max="23" width="8.140625" style="19" hidden="1" customWidth="1"/>
    <col min="24" max="29" width="6.85546875" style="18" hidden="1" customWidth="1"/>
    <col min="30" max="30" width="7.5703125" style="18" hidden="1" customWidth="1"/>
    <col min="31" max="31" width="8.85546875" style="19" hidden="1" customWidth="1"/>
    <col min="32" max="32" width="6.7109375" style="20" hidden="1" customWidth="1"/>
    <col min="33" max="33" width="7" style="17" hidden="1" customWidth="1"/>
    <col min="34" max="34" width="8.42578125" style="17" hidden="1" customWidth="1"/>
    <col min="35" max="35" width="7.7109375" style="17" hidden="1" customWidth="1"/>
    <col min="36" max="36" width="5.28515625" style="17" hidden="1" customWidth="1"/>
    <col min="37" max="37" width="21.28515625" style="36" hidden="1" customWidth="1"/>
    <col min="38" max="38" width="19.140625" style="20" hidden="1" customWidth="1"/>
    <col min="39" max="58" width="7.42578125" style="18" hidden="1" customWidth="1"/>
    <col min="59" max="62" width="9.7109375" style="18" hidden="1" customWidth="1"/>
    <col min="63" max="64" width="9.42578125" style="21" hidden="1" customWidth="1"/>
    <col min="65" max="65" width="9.42578125" style="22" hidden="1" customWidth="1"/>
    <col min="66" max="66" width="9.140625" style="17" customWidth="1"/>
    <col min="67" max="68" width="9.140625" style="19" customWidth="1"/>
    <col min="69" max="69" width="8.7109375" style="23" customWidth="1"/>
    <col min="70" max="70" width="7.42578125" style="17" hidden="1" customWidth="1"/>
    <col min="71" max="71" width="8.28515625" style="17" hidden="1" customWidth="1"/>
    <col min="72" max="72" width="12.5703125" style="17" hidden="1" customWidth="1"/>
    <col min="73" max="73" width="8.42578125" style="17" hidden="1" customWidth="1"/>
    <col min="74" max="74" width="19.140625" style="17" hidden="1" customWidth="1"/>
    <col min="75" max="75" width="18.42578125" style="17" hidden="1" customWidth="1"/>
    <col min="76" max="76" width="10.42578125" style="17" hidden="1" customWidth="1"/>
    <col min="77" max="78" width="10" style="17" hidden="1" customWidth="1"/>
    <col min="79" max="79" width="26.28515625" style="17" hidden="1" customWidth="1"/>
    <col min="80" max="86" width="5.5703125" style="17" hidden="1" customWidth="1"/>
    <col min="87" max="88" width="10.42578125" style="17" hidden="1" customWidth="1"/>
    <col min="89" max="89" width="10.42578125" style="10" hidden="1" customWidth="1"/>
    <col min="90" max="90" width="8.42578125" style="17" hidden="1" customWidth="1"/>
    <col min="91" max="93" width="10" style="17" hidden="1" customWidth="1"/>
    <col min="94" max="94" width="11.85546875" style="70" hidden="1" customWidth="1"/>
    <col min="95" max="95" width="10.140625" style="17" hidden="1" customWidth="1"/>
    <col min="96" max="96" width="10.42578125" style="17" hidden="1" customWidth="1"/>
    <col min="97" max="97" width="11.28515625" style="17" hidden="1" customWidth="1"/>
    <col min="98" max="98" width="12.42578125" style="17" hidden="1" customWidth="1"/>
    <col min="99" max="101" width="11.42578125" style="17" hidden="1" customWidth="1"/>
    <col min="102" max="102" width="11.42578125" style="70" hidden="1" customWidth="1"/>
    <col min="103" max="16384" width="9.140625" style="17"/>
  </cols>
  <sheetData>
    <row r="1" spans="1:102" s="67" customFormat="1" ht="28.5" customHeight="1">
      <c r="L1" s="68"/>
      <c r="N1" s="151" t="s">
        <v>1263</v>
      </c>
      <c r="O1" s="151"/>
      <c r="P1" s="151"/>
      <c r="Q1" s="151"/>
      <c r="R1" s="151"/>
      <c r="S1" s="151"/>
      <c r="T1" s="151"/>
      <c r="U1" s="151"/>
      <c r="V1" s="151"/>
      <c r="W1" s="151"/>
      <c r="X1" s="152" t="s">
        <v>1264</v>
      </c>
      <c r="Y1" s="152"/>
      <c r="Z1" s="152"/>
      <c r="AA1" s="152"/>
      <c r="AB1" s="152"/>
      <c r="AC1" s="152"/>
      <c r="AD1" s="152"/>
      <c r="AE1" s="152"/>
      <c r="AF1" s="153" t="s">
        <v>1265</v>
      </c>
      <c r="AG1" s="153"/>
      <c r="AH1" s="153"/>
      <c r="AI1" s="153"/>
      <c r="AJ1" s="153"/>
      <c r="AK1" s="153"/>
      <c r="AL1" s="153"/>
      <c r="AM1" s="154" t="s">
        <v>1266</v>
      </c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5" t="s">
        <v>1267</v>
      </c>
      <c r="BH1" s="155"/>
      <c r="BI1" s="155"/>
      <c r="BJ1" s="155"/>
      <c r="BK1" s="156" t="s">
        <v>1268</v>
      </c>
      <c r="BL1" s="156"/>
      <c r="BM1" s="156"/>
      <c r="BN1" s="157" t="s">
        <v>1269</v>
      </c>
      <c r="BO1" s="157"/>
      <c r="BP1" s="157"/>
      <c r="BQ1" s="102"/>
      <c r="BR1" s="159"/>
      <c r="BS1" s="159"/>
      <c r="BT1" s="159"/>
      <c r="BU1" s="159"/>
      <c r="BV1" s="158"/>
      <c r="BW1" s="158"/>
      <c r="BX1" s="158"/>
      <c r="BY1" s="103"/>
      <c r="BZ1" s="103"/>
      <c r="CA1" s="103"/>
      <c r="CB1" s="160" t="s">
        <v>1352</v>
      </c>
      <c r="CC1" s="160"/>
      <c r="CD1" s="160"/>
      <c r="CE1" s="160"/>
      <c r="CF1" s="160"/>
      <c r="CG1" s="160"/>
      <c r="CH1" s="160"/>
      <c r="CI1" s="161" t="s">
        <v>1276</v>
      </c>
      <c r="CJ1" s="161"/>
      <c r="CK1" s="161"/>
      <c r="CL1" s="104" t="s">
        <v>1358</v>
      </c>
      <c r="CM1" s="148" t="s">
        <v>1356</v>
      </c>
      <c r="CN1" s="149"/>
      <c r="CO1" s="149"/>
      <c r="CP1" s="150"/>
      <c r="CQ1" s="162" t="s">
        <v>1360</v>
      </c>
      <c r="CR1" s="162"/>
      <c r="CS1" s="162" t="s">
        <v>1361</v>
      </c>
      <c r="CT1" s="162"/>
      <c r="CU1" s="148" t="s">
        <v>1365</v>
      </c>
      <c r="CV1" s="149"/>
      <c r="CW1" s="149"/>
      <c r="CX1" s="150"/>
    </row>
    <row r="2" spans="1:102" s="65" customFormat="1" ht="87.75" customHeight="1">
      <c r="A2" s="58" t="s">
        <v>1270</v>
      </c>
      <c r="B2" s="58" t="s">
        <v>1177</v>
      </c>
      <c r="C2" s="58" t="s">
        <v>1272</v>
      </c>
      <c r="D2" s="58" t="s">
        <v>1273</v>
      </c>
      <c r="E2" s="58" t="s">
        <v>1271</v>
      </c>
      <c r="F2" s="93" t="s">
        <v>1399</v>
      </c>
      <c r="G2" s="58" t="s">
        <v>1403</v>
      </c>
      <c r="H2" s="58" t="s">
        <v>1239</v>
      </c>
      <c r="I2" s="95" t="s">
        <v>1335</v>
      </c>
      <c r="J2" s="58" t="s">
        <v>1240</v>
      </c>
      <c r="K2" s="58" t="s">
        <v>1185</v>
      </c>
      <c r="L2" s="59" t="s">
        <v>1256</v>
      </c>
      <c r="M2" s="58" t="s">
        <v>0</v>
      </c>
      <c r="N2" s="60" t="s">
        <v>1178</v>
      </c>
      <c r="O2" s="60" t="s">
        <v>1179</v>
      </c>
      <c r="P2" s="60" t="s">
        <v>1180</v>
      </c>
      <c r="Q2" s="60" t="s">
        <v>1181</v>
      </c>
      <c r="R2" s="60" t="s">
        <v>1182</v>
      </c>
      <c r="S2" s="60" t="s">
        <v>1182</v>
      </c>
      <c r="T2" s="60" t="s">
        <v>1183</v>
      </c>
      <c r="U2" s="58" t="s">
        <v>1184</v>
      </c>
      <c r="V2" s="61" t="s">
        <v>1217</v>
      </c>
      <c r="W2" s="61" t="s">
        <v>1218</v>
      </c>
      <c r="X2" s="60" t="s">
        <v>1187</v>
      </c>
      <c r="Y2" s="60" t="s">
        <v>1188</v>
      </c>
      <c r="Z2" s="60" t="s">
        <v>1189</v>
      </c>
      <c r="AA2" s="60" t="s">
        <v>1190</v>
      </c>
      <c r="AB2" s="60" t="s">
        <v>1191</v>
      </c>
      <c r="AC2" s="60" t="s">
        <v>1192</v>
      </c>
      <c r="AD2" s="60" t="s">
        <v>1193</v>
      </c>
      <c r="AE2" s="61" t="s">
        <v>1216</v>
      </c>
      <c r="AF2" s="93" t="s">
        <v>1</v>
      </c>
      <c r="AG2" s="58" t="s">
        <v>2</v>
      </c>
      <c r="AH2" s="58" t="s">
        <v>1215</v>
      </c>
      <c r="AI2" s="93" t="s">
        <v>1214</v>
      </c>
      <c r="AJ2" s="93" t="s">
        <v>9</v>
      </c>
      <c r="AK2" s="62" t="s">
        <v>3</v>
      </c>
      <c r="AL2" s="58" t="s">
        <v>4</v>
      </c>
      <c r="AM2" s="61" t="s">
        <v>1194</v>
      </c>
      <c r="AN2" s="61" t="s">
        <v>1195</v>
      </c>
      <c r="AO2" s="61" t="s">
        <v>1196</v>
      </c>
      <c r="AP2" s="61" t="s">
        <v>1197</v>
      </c>
      <c r="AQ2" s="61" t="s">
        <v>1198</v>
      </c>
      <c r="AR2" s="61" t="s">
        <v>1199</v>
      </c>
      <c r="AS2" s="61" t="s">
        <v>1200</v>
      </c>
      <c r="AT2" s="61" t="s">
        <v>1201</v>
      </c>
      <c r="AU2" s="61" t="s">
        <v>1202</v>
      </c>
      <c r="AV2" s="61" t="s">
        <v>1203</v>
      </c>
      <c r="AW2" s="61" t="s">
        <v>1204</v>
      </c>
      <c r="AX2" s="61" t="s">
        <v>1205</v>
      </c>
      <c r="AY2" s="61" t="s">
        <v>1206</v>
      </c>
      <c r="AZ2" s="61" t="s">
        <v>1207</v>
      </c>
      <c r="BA2" s="61" t="s">
        <v>1208</v>
      </c>
      <c r="BB2" s="61" t="s">
        <v>1209</v>
      </c>
      <c r="BC2" s="61" t="s">
        <v>1210</v>
      </c>
      <c r="BD2" s="61" t="s">
        <v>1211</v>
      </c>
      <c r="BE2" s="61" t="s">
        <v>1212</v>
      </c>
      <c r="BF2" s="61" t="s">
        <v>1213</v>
      </c>
      <c r="BG2" s="60" t="s">
        <v>1219</v>
      </c>
      <c r="BH2" s="60" t="s">
        <v>1220</v>
      </c>
      <c r="BI2" s="60" t="s">
        <v>1221</v>
      </c>
      <c r="BJ2" s="60" t="s">
        <v>1222</v>
      </c>
      <c r="BK2" s="60" t="s">
        <v>1238</v>
      </c>
      <c r="BL2" s="60" t="s">
        <v>1274</v>
      </c>
      <c r="BM2" s="58" t="s">
        <v>1223</v>
      </c>
      <c r="BN2" s="63" t="s">
        <v>1224</v>
      </c>
      <c r="BO2" s="63" t="s">
        <v>1225</v>
      </c>
      <c r="BP2" s="63" t="s">
        <v>1226</v>
      </c>
      <c r="BQ2" s="64" t="s">
        <v>1227</v>
      </c>
      <c r="BR2" s="58" t="s">
        <v>1</v>
      </c>
      <c r="BS2" s="93" t="s">
        <v>2</v>
      </c>
      <c r="BT2" s="93" t="s">
        <v>4</v>
      </c>
      <c r="BU2" s="93" t="s">
        <v>864</v>
      </c>
      <c r="BV2" s="93" t="s">
        <v>867</v>
      </c>
      <c r="BW2" s="93" t="s">
        <v>868</v>
      </c>
      <c r="BX2" s="93" t="s">
        <v>1228</v>
      </c>
      <c r="BY2" s="81" t="s">
        <v>1293</v>
      </c>
      <c r="BZ2" s="81" t="s">
        <v>1294</v>
      </c>
      <c r="CA2" s="82" t="s">
        <v>1296</v>
      </c>
      <c r="CB2" s="98" t="s">
        <v>1342</v>
      </c>
      <c r="CC2" s="94" t="s">
        <v>1346</v>
      </c>
      <c r="CD2" s="95" t="s">
        <v>1347</v>
      </c>
      <c r="CE2" s="95" t="s">
        <v>1348</v>
      </c>
      <c r="CF2" s="97" t="s">
        <v>1343</v>
      </c>
      <c r="CG2" s="97" t="s">
        <v>1341</v>
      </c>
      <c r="CH2" s="97" t="s">
        <v>1349</v>
      </c>
      <c r="CI2" s="99" t="s">
        <v>1353</v>
      </c>
      <c r="CJ2" s="99" t="s">
        <v>1354</v>
      </c>
      <c r="CK2" s="100" t="s">
        <v>1275</v>
      </c>
      <c r="CL2" s="101" t="s">
        <v>1357</v>
      </c>
      <c r="CM2" s="92" t="s">
        <v>1259</v>
      </c>
      <c r="CN2" s="92" t="s">
        <v>1260</v>
      </c>
      <c r="CO2" s="92" t="s">
        <v>1261</v>
      </c>
      <c r="CP2" s="92" t="s">
        <v>1262</v>
      </c>
      <c r="CQ2" s="95" t="s">
        <v>1364</v>
      </c>
      <c r="CR2" s="101" t="s">
        <v>1359</v>
      </c>
      <c r="CS2" s="95" t="s">
        <v>1363</v>
      </c>
      <c r="CT2" s="101" t="s">
        <v>1362</v>
      </c>
      <c r="CU2" s="92" t="s">
        <v>1259</v>
      </c>
      <c r="CV2" s="92" t="s">
        <v>1260</v>
      </c>
      <c r="CW2" s="92" t="s">
        <v>1261</v>
      </c>
      <c r="CX2" s="92" t="s">
        <v>1262</v>
      </c>
    </row>
    <row r="3" spans="1:102" s="10" customFormat="1" ht="18" hidden="1" customHeight="1">
      <c r="A3" s="54" t="s">
        <v>405</v>
      </c>
      <c r="B3" s="3" t="s">
        <v>406</v>
      </c>
      <c r="C3" s="56"/>
      <c r="D3" s="56"/>
      <c r="E3" s="51" t="s">
        <v>331</v>
      </c>
      <c r="F3" s="51" t="s">
        <v>1255</v>
      </c>
      <c r="G3" s="51">
        <v>3</v>
      </c>
      <c r="H3" s="51"/>
      <c r="I3" s="51"/>
      <c r="J3" s="51">
        <v>7</v>
      </c>
      <c r="K3" s="37" t="s">
        <v>1243</v>
      </c>
      <c r="L3" s="50"/>
      <c r="M3" s="4" t="s">
        <v>1186</v>
      </c>
      <c r="N3" s="25"/>
      <c r="O3" s="25"/>
      <c r="P3" s="25"/>
      <c r="Q3" s="25">
        <v>6.3</v>
      </c>
      <c r="R3" s="25"/>
      <c r="S3" s="25"/>
      <c r="T3" s="25">
        <v>2.8</v>
      </c>
      <c r="U3" s="25">
        <v>2.8</v>
      </c>
      <c r="V3" s="30">
        <v>34.999999999999993</v>
      </c>
      <c r="W3" s="30">
        <v>78.75</v>
      </c>
      <c r="X3" s="31"/>
      <c r="Y3" s="31"/>
      <c r="Z3" s="31"/>
      <c r="AA3" s="31"/>
      <c r="AB3" s="31"/>
      <c r="AC3" s="31"/>
      <c r="AD3" s="31"/>
      <c r="AE3" s="32"/>
      <c r="AF3" s="1" t="s">
        <v>407</v>
      </c>
      <c r="AG3" s="4"/>
      <c r="AH3" s="4"/>
      <c r="AI3" s="6">
        <v>80</v>
      </c>
      <c r="AJ3" s="38"/>
      <c r="AK3" s="3"/>
      <c r="AL3" s="1" t="s">
        <v>408</v>
      </c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42"/>
      <c r="BH3" s="42"/>
      <c r="BI3" s="42"/>
      <c r="BJ3" s="42"/>
      <c r="BK3" s="44"/>
      <c r="BL3" s="44">
        <v>3.2</v>
      </c>
      <c r="BM3" s="44">
        <f>+BK3+BL3</f>
        <v>3.2</v>
      </c>
      <c r="BN3" s="47"/>
      <c r="BO3" s="47"/>
      <c r="BP3" s="45"/>
      <c r="BQ3" s="8"/>
      <c r="BR3" s="4"/>
      <c r="BS3" s="4"/>
      <c r="BT3" s="4"/>
      <c r="BU3" s="4"/>
      <c r="BV3" s="4"/>
      <c r="BW3" s="4"/>
      <c r="BX3" s="4" t="s">
        <v>858</v>
      </c>
      <c r="BY3" s="9">
        <f>+INT(BK3*faktorji!$B$4)</f>
        <v>0</v>
      </c>
      <c r="BZ3" s="9">
        <f>+INT(BL3*faktorji!$B$4)</f>
        <v>528</v>
      </c>
      <c r="CA3" s="4"/>
      <c r="CB3" s="4">
        <v>0</v>
      </c>
      <c r="CC3" s="4">
        <v>0</v>
      </c>
      <c r="CD3" s="4">
        <v>0</v>
      </c>
      <c r="CE3" s="4">
        <v>0</v>
      </c>
      <c r="CF3" s="4">
        <v>0</v>
      </c>
      <c r="CG3" s="4">
        <v>1</v>
      </c>
      <c r="CH3" s="4">
        <v>1</v>
      </c>
      <c r="CI3" s="9">
        <f>+BQ3*(CB3*faktorji!$B$21+'MOL_tabela rezultatov'!CF162*faktorji!$B$23+'MOL_tabela rezultatov'!CH162*faktorji!$B$26)+faktorji!$B$27*CG3</f>
        <v>18000</v>
      </c>
      <c r="CJ3" s="9">
        <f>+(BZ3*CF3*faktorji!$B$18)+(CG3*faktorji!$B$17*('MOL_tabela rezultatov'!BY162+'MOL_tabela rezultatov'!BZ162))+('MOL_tabela rezultatov'!CH162*faktorji!$B$16*'MOL_tabela rezultatov'!BY162)+('MOL_tabela rezultatov'!CB162*faktorji!$B$12*'MOL_tabela rezultatov'!BY162)</f>
        <v>1001.1000000000001</v>
      </c>
      <c r="CK3" s="66">
        <f>+CI3/CJ3</f>
        <v>17.980221756068321</v>
      </c>
      <c r="CL3" s="3" t="str">
        <f>CONCATENATE(IF(CB3&gt;0,"kotlovnica/toplotna postaja, ",""),IF(CF3&gt;0,"razsvetljava, ",""),IF(CG3&gt;0,"energetsko upravljanje, ",""),IF(CH3&gt;0,"manjši investicijski in organizacijski ukrepi, ",""))</f>
        <v xml:space="preserve">energetsko upravljanje, manjši investicijski in organizacijski ukrepi, </v>
      </c>
      <c r="CM3" s="9">
        <f>+CJ3*0.9</f>
        <v>900.99000000000012</v>
      </c>
      <c r="CN3" s="9">
        <f>+CJ3*0.9</f>
        <v>900.99000000000012</v>
      </c>
      <c r="CO3" s="9">
        <f>+CJ3*0.9</f>
        <v>900.99000000000012</v>
      </c>
      <c r="CP3" s="69">
        <f>+IF(CI3-SUM(CM3:CO3)&lt;0,0,CI3-SUM(CM3:CO3))</f>
        <v>15297.029999999999</v>
      </c>
      <c r="CQ3" s="9">
        <f>+(BQ3*CE3*faktorji!$B$24)+(BQ3^0.5*CC3*4*4*0.66*faktorji!$B$22)+(BQ3^0.5*CD3*4*4*0.33*faktorji!$B$25)</f>
        <v>0</v>
      </c>
      <c r="CR3" s="3" t="str">
        <f>CONCATENATE(IF(CC3&gt;0,"izolacija ovoja, ",""),IF(CD3&gt;0,"stavbno pohištvo, ",""),IF(CE3&gt;0,"izolacija podstrešja, ",""))</f>
        <v/>
      </c>
      <c r="CS3" s="9">
        <f>+BQ3*('MOL_tabela rezultatov'!CH3*faktorji!$B$26)+faktorji!$B$27*CG3</f>
        <v>18000</v>
      </c>
      <c r="CT3" s="3" t="str">
        <f t="shared" ref="CT3:CT63" si="0">CONCATENATE(IF(CG3&gt;0,"energetsko upravljanje, ",""),IF(CH3&gt;0,"manjši investicijski in organizacijski ukrepi, ",""))</f>
        <v xml:space="preserve">energetsko upravljanje, manjši investicijski in organizacijski ukrepi, </v>
      </c>
      <c r="CU3" s="9">
        <f>+CS3/4</f>
        <v>4500</v>
      </c>
      <c r="CV3" s="9">
        <f>+CU3</f>
        <v>4500</v>
      </c>
      <c r="CW3" s="9">
        <f>+CV3</f>
        <v>4500</v>
      </c>
      <c r="CX3" s="69">
        <f>+CU3</f>
        <v>4500</v>
      </c>
    </row>
    <row r="4" spans="1:102" s="10" customFormat="1" ht="18" customHeight="1">
      <c r="A4" s="118" t="s">
        <v>222</v>
      </c>
      <c r="B4" s="147" t="s">
        <v>230</v>
      </c>
      <c r="C4" s="56"/>
      <c r="D4" s="56"/>
      <c r="E4" s="51" t="s">
        <v>1172</v>
      </c>
      <c r="F4" s="51"/>
      <c r="G4" s="51">
        <v>4</v>
      </c>
      <c r="H4" s="51"/>
      <c r="I4" s="51"/>
      <c r="J4" s="51">
        <v>6</v>
      </c>
      <c r="K4" s="37" t="s">
        <v>1244</v>
      </c>
      <c r="L4" s="50"/>
      <c r="M4" s="4" t="s">
        <v>6</v>
      </c>
      <c r="N4" s="25"/>
      <c r="O4" s="25">
        <v>1127.9349999999999</v>
      </c>
      <c r="P4" s="25"/>
      <c r="Q4" s="25"/>
      <c r="R4" s="25"/>
      <c r="S4" s="25"/>
      <c r="T4" s="25">
        <v>520.79999999999995</v>
      </c>
      <c r="U4" s="25">
        <v>1648.7349999999999</v>
      </c>
      <c r="V4" s="30">
        <v>208.31999999999996</v>
      </c>
      <c r="W4" s="30">
        <v>451.17399999999998</v>
      </c>
      <c r="X4" s="31"/>
      <c r="Y4" s="31"/>
      <c r="Z4" s="31"/>
      <c r="AA4" s="31"/>
      <c r="AB4" s="31"/>
      <c r="AC4" s="31"/>
      <c r="AD4" s="31"/>
      <c r="AE4" s="32"/>
      <c r="AF4" s="1"/>
      <c r="AG4" s="4"/>
      <c r="AH4" s="4" t="s">
        <v>231</v>
      </c>
      <c r="AI4" s="6">
        <v>2500</v>
      </c>
      <c r="AJ4" s="38"/>
      <c r="AK4" s="3"/>
      <c r="AL4" s="1" t="s">
        <v>229</v>
      </c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42">
        <v>1772</v>
      </c>
      <c r="BH4" s="42"/>
      <c r="BI4" s="42"/>
      <c r="BJ4" s="42"/>
      <c r="BK4" s="44">
        <v>1772</v>
      </c>
      <c r="BL4" s="44">
        <v>520.79999999999995</v>
      </c>
      <c r="BM4" s="44">
        <f>+BK4+BL4</f>
        <v>2292.8000000000002</v>
      </c>
      <c r="BN4" s="47">
        <v>708.8</v>
      </c>
      <c r="BO4" s="47">
        <v>208.31999999999996</v>
      </c>
      <c r="BP4" s="45">
        <v>917.12</v>
      </c>
      <c r="BQ4" s="9">
        <v>2500</v>
      </c>
      <c r="BR4" s="4"/>
      <c r="BS4" s="4"/>
      <c r="BT4" s="4"/>
      <c r="BU4" s="4" t="s">
        <v>1247</v>
      </c>
      <c r="BV4" s="4"/>
      <c r="BW4" s="4"/>
      <c r="BX4" s="4"/>
      <c r="BY4" s="9">
        <f>+INT(BK4*faktorji!$B$5)</f>
        <v>168340</v>
      </c>
      <c r="BZ4" s="9">
        <f>+INT(BL4*faktorji!$B$4)</f>
        <v>85932</v>
      </c>
      <c r="CA4" s="4"/>
      <c r="CB4" s="4">
        <v>0</v>
      </c>
      <c r="CC4" s="4">
        <v>0</v>
      </c>
      <c r="CD4" s="4">
        <v>0</v>
      </c>
      <c r="CE4" s="4">
        <v>0</v>
      </c>
      <c r="CF4" s="4">
        <v>1</v>
      </c>
      <c r="CG4" s="4">
        <v>1</v>
      </c>
      <c r="CH4" s="4">
        <v>1</v>
      </c>
      <c r="CI4" s="9">
        <f>+BQ4*(CB4*faktorji!$B$21+'MOL_tabela rezultatov'!CF81*faktorji!$B$23+'MOL_tabela rezultatov'!CH81*faktorji!$B$26)+faktorji!$B$27*CG4</f>
        <v>18000</v>
      </c>
      <c r="CJ4" s="9">
        <f>+(BZ4*CF4*faktorji!$B$18)+(CG4*faktorji!$B$17*('MOL_tabela rezultatov'!BY81+'MOL_tabela rezultatov'!BZ81))+('MOL_tabela rezultatov'!CH81*faktorji!$B$16*'MOL_tabela rezultatov'!BY81)+('MOL_tabela rezultatov'!CB81*faktorji!$B$12*'MOL_tabela rezultatov'!BY81)</f>
        <v>30433.4</v>
      </c>
      <c r="CK4" s="66">
        <f>+CI4/CJ4</f>
        <v>0.59145544040429265</v>
      </c>
      <c r="CL4" s="3" t="str">
        <f>CONCATENATE(IF(CB4&gt;0,"kotlovnica/toplotna postaja, ",""),IF(CF4&gt;0,"razsvetljava, ",""),IF(CG4&gt;0,"energetsko upravljanje, ",""),IF(CH4&gt;0,"manjši investicijski in organizacijski ukrepi, ",""))</f>
        <v xml:space="preserve">razsvetljava, energetsko upravljanje, manjši investicijski in organizacijski ukrepi, </v>
      </c>
      <c r="CM4" s="9">
        <f>+CJ4*0.9</f>
        <v>27390.06</v>
      </c>
      <c r="CN4" s="9">
        <f>+CJ4*0.9</f>
        <v>27390.06</v>
      </c>
      <c r="CO4" s="9">
        <f>+CJ4*0.9</f>
        <v>27390.06</v>
      </c>
      <c r="CP4" s="69">
        <f>+IF(CI4-SUM(CM4:CO4)&lt;0,0,CI4-SUM(CM4:CO4))</f>
        <v>0</v>
      </c>
      <c r="CQ4" s="9">
        <f>+(BQ4*CE4*faktorji!$B$24)+(BQ4^0.5*CC4*4*4*0.66*faktorji!$B$22)+(BQ4^0.5*CD4*4*4*0.33*faktorji!$B$25)</f>
        <v>0</v>
      </c>
      <c r="CR4" s="3" t="str">
        <f t="shared" ref="CR4:CR64" si="1">CONCATENATE(IF(CC4&gt;0,"izolacija ovoja, ",""),IF(CD4&gt;0,"stavbno pohištvo, ",""),IF(CE4&gt;0,"izolacija podstrešja, ",""))</f>
        <v/>
      </c>
      <c r="CS4" s="9">
        <f>+BQ4*('MOL_tabela rezultatov'!CH4*faktorji!$B$26)+faktorji!$B$27*CG4</f>
        <v>21750</v>
      </c>
      <c r="CT4" s="3" t="str">
        <f t="shared" si="0"/>
        <v xml:space="preserve">energetsko upravljanje, manjši investicijski in organizacijski ukrepi, </v>
      </c>
      <c r="CU4" s="9"/>
      <c r="CV4" s="9"/>
      <c r="CW4" s="9"/>
      <c r="CX4" s="69"/>
    </row>
    <row r="5" spans="1:102" s="10" customFormat="1" ht="18" customHeight="1">
      <c r="A5" s="118" t="s">
        <v>206</v>
      </c>
      <c r="B5" s="147" t="s">
        <v>210</v>
      </c>
      <c r="C5" s="56"/>
      <c r="D5" s="56"/>
      <c r="E5" s="51" t="s">
        <v>1172</v>
      </c>
      <c r="F5" s="51"/>
      <c r="G5" s="51">
        <v>4</v>
      </c>
      <c r="H5" s="51"/>
      <c r="I5" s="51"/>
      <c r="J5" s="51">
        <v>7</v>
      </c>
      <c r="K5" s="37" t="s">
        <v>1243</v>
      </c>
      <c r="L5" s="50"/>
      <c r="M5" s="1" t="s">
        <v>1186</v>
      </c>
      <c r="N5" s="25"/>
      <c r="O5" s="25"/>
      <c r="P5" s="25"/>
      <c r="Q5" s="25">
        <v>3.9</v>
      </c>
      <c r="R5" s="25"/>
      <c r="S5" s="25"/>
      <c r="T5" s="25">
        <v>24.99</v>
      </c>
      <c r="U5" s="25"/>
      <c r="V5" s="30"/>
      <c r="W5" s="30"/>
      <c r="X5" s="31"/>
      <c r="Y5" s="31"/>
      <c r="Z5" s="31"/>
      <c r="AA5" s="31"/>
      <c r="AB5" s="31"/>
      <c r="AC5" s="31"/>
      <c r="AD5" s="31"/>
      <c r="AE5" s="32"/>
      <c r="AF5" s="1" t="s">
        <v>136</v>
      </c>
      <c r="AG5" s="4"/>
      <c r="AH5" s="4"/>
      <c r="AI5" s="6">
        <v>1248</v>
      </c>
      <c r="AJ5" s="38"/>
      <c r="AK5" s="3" t="s">
        <v>211</v>
      </c>
      <c r="AL5" s="1" t="s">
        <v>212</v>
      </c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42"/>
      <c r="BH5" s="42"/>
      <c r="BI5" s="42"/>
      <c r="BJ5" s="42"/>
      <c r="BK5" s="44"/>
      <c r="BL5" s="44"/>
      <c r="BM5" s="44">
        <f>+BK5+BL5</f>
        <v>0</v>
      </c>
      <c r="BN5" s="47"/>
      <c r="BO5" s="47"/>
      <c r="BP5" s="45"/>
      <c r="BQ5" s="9"/>
      <c r="BR5" s="4"/>
      <c r="BS5" s="4"/>
      <c r="BT5" s="4"/>
      <c r="BU5" s="4"/>
      <c r="BV5" s="4"/>
      <c r="BW5" s="4"/>
      <c r="BX5" s="4" t="s">
        <v>855</v>
      </c>
      <c r="BY5" s="9">
        <f>+INT(BK5*faktorji!$B$4)</f>
        <v>0</v>
      </c>
      <c r="BZ5" s="9">
        <f>+INT(BL5*faktorji!$B$4)</f>
        <v>0</v>
      </c>
      <c r="CA5" s="4"/>
      <c r="CB5" s="4">
        <v>0</v>
      </c>
      <c r="CC5" s="4">
        <v>0</v>
      </c>
      <c r="CD5" s="4">
        <v>0</v>
      </c>
      <c r="CE5" s="4">
        <v>0</v>
      </c>
      <c r="CF5" s="4">
        <v>1</v>
      </c>
      <c r="CG5" s="4">
        <v>1</v>
      </c>
      <c r="CH5" s="4">
        <v>1</v>
      </c>
      <c r="CI5" s="9">
        <f>+BQ5*(CB5*faktorji!$B$21+'MOL_tabela rezultatov'!CF74*faktorji!$B$23+'MOL_tabela rezultatov'!CH74*faktorji!$B$26)+faktorji!$B$27*CG5</f>
        <v>18000</v>
      </c>
      <c r="CJ5" s="9">
        <f>+(BZ5*CF5*faktorji!$B$18)+(CG5*faktorji!$B$17*('MOL_tabela rezultatov'!BY74+'MOL_tabela rezultatov'!BZ74))+('MOL_tabela rezultatov'!CH74*faktorji!$B$16*'MOL_tabela rezultatov'!BY74)+('MOL_tabela rezultatov'!CB74*faktorji!$B$12*'MOL_tabela rezultatov'!BY74)</f>
        <v>851.30000000000007</v>
      </c>
      <c r="CK5" s="66">
        <f>+CI5/CJ5</f>
        <v>21.144132503230352</v>
      </c>
      <c r="CL5" s="3" t="str">
        <f>CONCATENATE(IF(CB5&gt;0,"kotlovnica/toplotna postaja, ",""),IF(CF5&gt;0,"razsvetljava, ",""),IF(CG5&gt;0,"energetsko upravljanje, ",""),IF(CH5&gt;0,"manjši investicijski in organizacijski ukrepi, ",""))</f>
        <v xml:space="preserve">razsvetljava, energetsko upravljanje, manjši investicijski in organizacijski ukrepi, </v>
      </c>
      <c r="CM5" s="9">
        <f>+CJ5*0.9</f>
        <v>766.17000000000007</v>
      </c>
      <c r="CN5" s="9">
        <f>+CJ5*0.9</f>
        <v>766.17000000000007</v>
      </c>
      <c r="CO5" s="9">
        <f>+CJ5*0.9</f>
        <v>766.17000000000007</v>
      </c>
      <c r="CP5" s="69">
        <f>+IF(CI5-SUM(CM5:CO5)&lt;0,0,CI5-SUM(CM5:CO5))</f>
        <v>15701.49</v>
      </c>
      <c r="CQ5" s="9">
        <f>+(BQ5*CE5*faktorji!$B$24)+(BQ5^0.5*CC5*4*4*0.66*faktorji!$B$22)+(BQ5^0.5*CD5*4*4*0.33*faktorji!$B$25)</f>
        <v>0</v>
      </c>
      <c r="CR5" s="3" t="str">
        <f t="shared" si="1"/>
        <v/>
      </c>
      <c r="CS5" s="9">
        <f>+BQ5*('MOL_tabela rezultatov'!CH5*faktorji!$B$26)+faktorji!$B$27*CG5</f>
        <v>18000</v>
      </c>
      <c r="CT5" s="3" t="str">
        <f t="shared" si="0"/>
        <v xml:space="preserve">energetsko upravljanje, manjši investicijski in organizacijski ukrepi, </v>
      </c>
      <c r="CU5" s="9"/>
      <c r="CV5" s="9"/>
      <c r="CW5" s="9"/>
      <c r="CX5" s="69"/>
    </row>
    <row r="6" spans="1:102" s="10" customFormat="1" ht="18" hidden="1" customHeight="1">
      <c r="A6" s="54" t="s">
        <v>392</v>
      </c>
      <c r="B6" s="3" t="s">
        <v>393</v>
      </c>
      <c r="C6" s="56"/>
      <c r="D6" s="56"/>
      <c r="E6" s="51" t="s">
        <v>331</v>
      </c>
      <c r="F6" s="51" t="s">
        <v>1255</v>
      </c>
      <c r="G6" s="51">
        <v>3</v>
      </c>
      <c r="H6" s="51"/>
      <c r="I6" s="51"/>
      <c r="J6" s="51">
        <v>7</v>
      </c>
      <c r="K6" s="37" t="s">
        <v>1244</v>
      </c>
      <c r="L6" s="50"/>
      <c r="M6" s="4" t="s">
        <v>5</v>
      </c>
      <c r="N6" s="25"/>
      <c r="O6" s="25"/>
      <c r="P6" s="25"/>
      <c r="Q6" s="25"/>
      <c r="R6" s="25"/>
      <c r="S6" s="25">
        <v>415.52393473371484</v>
      </c>
      <c r="T6" s="25">
        <v>172.23020396515764</v>
      </c>
      <c r="U6" s="25">
        <v>172.23020396515764</v>
      </c>
      <c r="V6" s="30">
        <v>72.579099858894921</v>
      </c>
      <c r="W6" s="30">
        <v>175.10490296406019</v>
      </c>
      <c r="X6" s="31"/>
      <c r="Y6" s="31"/>
      <c r="Z6" s="31"/>
      <c r="AA6" s="31"/>
      <c r="AB6" s="31"/>
      <c r="AC6" s="31"/>
      <c r="AD6" s="31"/>
      <c r="AE6" s="32"/>
      <c r="AF6" s="1"/>
      <c r="AG6" s="4"/>
      <c r="AH6" s="4"/>
      <c r="AI6" s="6">
        <v>2373</v>
      </c>
      <c r="AJ6" s="38"/>
      <c r="AK6" s="3"/>
      <c r="AL6" s="1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42">
        <v>328.8</v>
      </c>
      <c r="BH6" s="42"/>
      <c r="BI6" s="42"/>
      <c r="BJ6" s="42"/>
      <c r="BK6" s="44">
        <v>328.8</v>
      </c>
      <c r="BL6" s="44">
        <v>203.38119999999998</v>
      </c>
      <c r="BM6" s="44">
        <f>+BK6+BL6</f>
        <v>532.18119999999999</v>
      </c>
      <c r="BN6" s="47">
        <v>120.92681132769401</v>
      </c>
      <c r="BO6" s="47">
        <v>74.8</v>
      </c>
      <c r="BP6" s="45">
        <v>195.72681132769398</v>
      </c>
      <c r="BQ6" s="9">
        <v>2719</v>
      </c>
      <c r="BR6" s="4"/>
      <c r="BS6" s="4"/>
      <c r="BT6" s="4"/>
      <c r="BU6" s="4"/>
      <c r="BV6" s="4"/>
      <c r="BW6" s="4"/>
      <c r="BX6" s="4"/>
      <c r="BY6" s="9">
        <f>+INT(BK6*faktorji!$B$3)</f>
        <v>21372</v>
      </c>
      <c r="BZ6" s="9">
        <f>+INT(BL6*faktorji!$B$4)</f>
        <v>33557</v>
      </c>
      <c r="CA6" s="4"/>
      <c r="CB6" s="4">
        <v>0</v>
      </c>
      <c r="CC6" s="4">
        <v>0</v>
      </c>
      <c r="CD6" s="4">
        <v>0</v>
      </c>
      <c r="CE6" s="4">
        <v>0</v>
      </c>
      <c r="CF6" s="4">
        <v>0</v>
      </c>
      <c r="CG6" s="4">
        <v>1</v>
      </c>
      <c r="CH6" s="4">
        <v>1</v>
      </c>
      <c r="CI6" s="9">
        <f>+BQ6*(CB6*faktorji!$B$21+'MOL_tabela rezultatov'!CF156*faktorji!$B$23+'MOL_tabela rezultatov'!CH156*faktorji!$B$26)+faktorji!$B$27*CG6</f>
        <v>22078.5</v>
      </c>
      <c r="CJ6" s="9">
        <f>+(BZ6*CF6*faktorji!$B$18)+(CG6*faktorji!$B$17*('MOL_tabela rezultatov'!BY156+'MOL_tabela rezultatov'!BZ156))+('MOL_tabela rezultatov'!CH156*faktorji!$B$16*'MOL_tabela rezultatov'!BY156)+('MOL_tabela rezultatov'!CB156*faktorji!$B$12*'MOL_tabela rezultatov'!BY156)</f>
        <v>1622</v>
      </c>
      <c r="CK6" s="66">
        <f>+CI6/CJ6</f>
        <v>13.61189889025894</v>
      </c>
      <c r="CL6" s="3" t="str">
        <f>CONCATENATE(IF(CB6&gt;0,"kotlovnica/toplotna postaja, ",""),IF(CF6&gt;0,"razsvetljava, ",""),IF(CG6&gt;0,"energetsko upravljanje, ",""),IF(CH6&gt;0,"manjši investicijski in organizacijski ukrepi, ",""))</f>
        <v xml:space="preserve">energetsko upravljanje, manjši investicijski in organizacijski ukrepi, </v>
      </c>
      <c r="CM6" s="9">
        <f>+CJ6*0.9</f>
        <v>1459.8</v>
      </c>
      <c r="CN6" s="9">
        <f>+CJ6*0.9</f>
        <v>1459.8</v>
      </c>
      <c r="CO6" s="9">
        <f>+CJ6*0.9</f>
        <v>1459.8</v>
      </c>
      <c r="CP6" s="69">
        <f>+IF(CI6-SUM(CM6:CO6)&lt;0,0,CI6-SUM(CM6:CO6))</f>
        <v>17699.099999999999</v>
      </c>
      <c r="CQ6" s="9">
        <f>+(BQ6*CE6*faktorji!$B$24)+(BQ6^0.5*CC6*4*4*0.66*faktorji!$B$22)+(BQ6^0.5*CD6*4*4*0.33*faktorji!$B$25)</f>
        <v>0</v>
      </c>
      <c r="CR6" s="3" t="str">
        <f t="shared" si="1"/>
        <v/>
      </c>
      <c r="CS6" s="9">
        <f>+BQ6*('MOL_tabela rezultatov'!CH6*faktorji!$B$26)+faktorji!$B$27*CG6</f>
        <v>22078.5</v>
      </c>
      <c r="CT6" s="3" t="str">
        <f t="shared" si="0"/>
        <v xml:space="preserve">energetsko upravljanje, manjši investicijski in organizacijski ukrepi, </v>
      </c>
      <c r="CU6" s="9"/>
      <c r="CV6" s="9"/>
      <c r="CW6" s="9"/>
      <c r="CX6" s="69"/>
    </row>
    <row r="7" spans="1:102" s="10" customFormat="1" ht="18" hidden="1" customHeight="1">
      <c r="A7" s="54" t="s">
        <v>347</v>
      </c>
      <c r="B7" s="3" t="s">
        <v>348</v>
      </c>
      <c r="C7" s="56"/>
      <c r="D7" s="56"/>
      <c r="E7" s="51" t="s">
        <v>331</v>
      </c>
      <c r="F7" s="51" t="s">
        <v>1255</v>
      </c>
      <c r="G7" s="51">
        <v>3</v>
      </c>
      <c r="H7" s="51"/>
      <c r="I7" s="51"/>
      <c r="J7" s="51">
        <v>7</v>
      </c>
      <c r="K7" s="37" t="s">
        <v>1241</v>
      </c>
      <c r="L7" s="50"/>
      <c r="M7" s="4" t="s">
        <v>1229</v>
      </c>
      <c r="N7" s="25"/>
      <c r="O7" s="25"/>
      <c r="P7" s="25"/>
      <c r="Q7" s="25"/>
      <c r="R7" s="25"/>
      <c r="S7" s="25"/>
      <c r="T7" s="25"/>
      <c r="U7" s="25"/>
      <c r="V7" s="30"/>
      <c r="W7" s="30"/>
      <c r="X7" s="31"/>
      <c r="Y7" s="31"/>
      <c r="Z7" s="31"/>
      <c r="AA7" s="31"/>
      <c r="AB7" s="31"/>
      <c r="AC7" s="31"/>
      <c r="AD7" s="31"/>
      <c r="AE7" s="32"/>
      <c r="AF7" s="1"/>
      <c r="AG7" s="4"/>
      <c r="AH7" s="4"/>
      <c r="AI7" s="6"/>
      <c r="AJ7" s="38"/>
      <c r="AK7" s="3"/>
      <c r="AL7" s="1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42"/>
      <c r="BH7" s="42"/>
      <c r="BI7" s="42"/>
      <c r="BJ7" s="42"/>
      <c r="BK7" s="44"/>
      <c r="BL7" s="44"/>
      <c r="BM7" s="44">
        <f>+BK7+BL7</f>
        <v>0</v>
      </c>
      <c r="BN7" s="48"/>
      <c r="BO7" s="48"/>
      <c r="BP7" s="46"/>
      <c r="BQ7" s="7"/>
      <c r="BR7" s="4"/>
      <c r="BS7" s="4"/>
      <c r="BT7" s="4"/>
      <c r="BU7" s="4"/>
      <c r="BV7" s="4"/>
      <c r="BW7" s="4"/>
      <c r="BX7" s="4" t="s">
        <v>858</v>
      </c>
      <c r="BY7" s="9">
        <v>0</v>
      </c>
      <c r="BZ7" s="9">
        <f>+INT(BL7*faktorji!$B$4)</f>
        <v>0</v>
      </c>
      <c r="CA7" s="4"/>
      <c r="CB7" s="4">
        <v>0</v>
      </c>
      <c r="CC7" s="4">
        <v>0</v>
      </c>
      <c r="CD7" s="4">
        <v>0</v>
      </c>
      <c r="CE7" s="4">
        <v>0</v>
      </c>
      <c r="CF7" s="4">
        <v>1</v>
      </c>
      <c r="CG7" s="4">
        <v>1</v>
      </c>
      <c r="CH7" s="4">
        <v>1</v>
      </c>
      <c r="CI7" s="9">
        <f>+BQ7*(CB7*faktorji!$B$21+'MOL_tabela rezultatov'!CF138*faktorji!$B$23+'MOL_tabela rezultatov'!CH138*faktorji!$B$26)+faktorji!$B$27*CG7</f>
        <v>18000</v>
      </c>
      <c r="CJ7" s="9">
        <f>+(BZ7*CF7*faktorji!$B$18)+(CG7*faktorji!$B$17*('MOL_tabela rezultatov'!BY138+'MOL_tabela rezultatov'!BZ138))+('MOL_tabela rezultatov'!CH138*faktorji!$B$16*'MOL_tabela rezultatov'!BY138)+('MOL_tabela rezultatov'!CB138*faktorji!$B$12*'MOL_tabela rezultatov'!BY138)</f>
        <v>23567.5</v>
      </c>
      <c r="CK7" s="66">
        <f>+CI7/CJ7</f>
        <v>0.76376365757929354</v>
      </c>
      <c r="CL7" s="3" t="str">
        <f>CONCATENATE(IF(CB7&gt;0,"kotlovnica/toplotna postaja, ",""),IF(CF7&gt;0,"razsvetljava, ",""),IF(CG7&gt;0,"energetsko upravljanje, ",""),IF(CH7&gt;0,"manjši investicijski in organizacijski ukrepi, ",""))</f>
        <v xml:space="preserve">razsvetljava, energetsko upravljanje, manjši investicijski in organizacijski ukrepi, </v>
      </c>
      <c r="CM7" s="9">
        <f>+CJ7*0.9</f>
        <v>21210.75</v>
      </c>
      <c r="CN7" s="9">
        <f>+CJ7*0.9</f>
        <v>21210.75</v>
      </c>
      <c r="CO7" s="9">
        <f>+CJ7*0.9</f>
        <v>21210.75</v>
      </c>
      <c r="CP7" s="69">
        <f>+IF(CI7-SUM(CM7:CO7)&lt;0,0,CI7-SUM(CM7:CO7))</f>
        <v>0</v>
      </c>
      <c r="CQ7" s="9">
        <f>+(BQ7*CE7*faktorji!$B$24)+(BQ7^0.5*CC7*4*4*0.66*faktorji!$B$22)+(BQ7^0.5*CD7*4*4*0.33*faktorji!$B$25)</f>
        <v>0</v>
      </c>
      <c r="CR7" s="3" t="str">
        <f t="shared" si="1"/>
        <v/>
      </c>
      <c r="CS7" s="9">
        <f>+BQ7*('MOL_tabela rezultatov'!CH7*faktorji!$B$26)+faktorji!$B$27*CG7</f>
        <v>18000</v>
      </c>
      <c r="CT7" s="3" t="str">
        <f t="shared" si="0"/>
        <v xml:space="preserve">energetsko upravljanje, manjši investicijski in organizacijski ukrepi, </v>
      </c>
      <c r="CU7" s="9"/>
      <c r="CV7" s="9"/>
      <c r="CW7" s="9"/>
      <c r="CX7" s="69"/>
    </row>
    <row r="8" spans="1:102" s="10" customFormat="1" ht="18" hidden="1" customHeight="1">
      <c r="A8" s="53" t="s">
        <v>359</v>
      </c>
      <c r="B8" s="2" t="s">
        <v>360</v>
      </c>
      <c r="C8" s="57"/>
      <c r="D8" s="57"/>
      <c r="E8" s="51" t="s">
        <v>331</v>
      </c>
      <c r="F8" s="51" t="s">
        <v>1255</v>
      </c>
      <c r="G8" s="51">
        <v>2</v>
      </c>
      <c r="H8" s="51" t="s">
        <v>1255</v>
      </c>
      <c r="I8" s="51"/>
      <c r="J8" s="51">
        <v>5</v>
      </c>
      <c r="K8" s="37" t="s">
        <v>1244</v>
      </c>
      <c r="L8" s="50"/>
      <c r="M8" s="110" t="s">
        <v>7</v>
      </c>
      <c r="N8" s="25"/>
      <c r="O8" s="25"/>
      <c r="P8" s="25">
        <v>160</v>
      </c>
      <c r="Q8" s="25"/>
      <c r="R8" s="25"/>
      <c r="S8" s="25"/>
      <c r="T8" s="25">
        <v>94.97</v>
      </c>
      <c r="U8" s="25">
        <v>254.97</v>
      </c>
      <c r="V8" s="30">
        <v>47.484999999999999</v>
      </c>
      <c r="W8" s="30">
        <v>80</v>
      </c>
      <c r="X8" s="31"/>
      <c r="Y8" s="31"/>
      <c r="Z8" s="31">
        <v>170</v>
      </c>
      <c r="AA8" s="31"/>
      <c r="AB8" s="31"/>
      <c r="AC8" s="31">
        <v>93.55</v>
      </c>
      <c r="AD8" s="31"/>
      <c r="AE8" s="32">
        <v>85</v>
      </c>
      <c r="AF8" s="1" t="s">
        <v>361</v>
      </c>
      <c r="AG8" s="4">
        <v>1991</v>
      </c>
      <c r="AH8" s="4">
        <v>1991</v>
      </c>
      <c r="AI8" s="6">
        <v>2000</v>
      </c>
      <c r="AJ8" s="38">
        <v>100</v>
      </c>
      <c r="AK8" s="3"/>
      <c r="AL8" s="1" t="s">
        <v>127</v>
      </c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>
        <v>103.67</v>
      </c>
      <c r="BD8" s="37">
        <v>141.4</v>
      </c>
      <c r="BE8" s="37">
        <v>143.4</v>
      </c>
      <c r="BF8" s="37"/>
      <c r="BG8" s="42"/>
      <c r="BH8" s="42"/>
      <c r="BI8" s="42"/>
      <c r="BJ8" s="42">
        <v>257.54000000000002</v>
      </c>
      <c r="BK8" s="107">
        <v>257.54000000000002</v>
      </c>
      <c r="BL8" s="107">
        <v>143.1</v>
      </c>
      <c r="BM8" s="107">
        <f>+BK8+BL8</f>
        <v>400.64</v>
      </c>
      <c r="BN8" s="108">
        <f>+BK8*1000/BQ8</f>
        <v>128.77000000000001</v>
      </c>
      <c r="BO8" s="108">
        <f>+BL8*1000/BQ8</f>
        <v>71.55</v>
      </c>
      <c r="BP8" s="109">
        <f>+BO8+BN8</f>
        <v>200.32</v>
      </c>
      <c r="BQ8" s="106">
        <v>2000</v>
      </c>
      <c r="BR8" s="110" t="s">
        <v>1419</v>
      </c>
      <c r="BS8" s="4"/>
      <c r="BT8" s="4"/>
      <c r="BU8" s="4"/>
      <c r="BV8" s="4"/>
      <c r="BW8" s="4"/>
      <c r="BX8" s="4"/>
      <c r="BY8" s="106">
        <v>19700</v>
      </c>
      <c r="BZ8" s="106">
        <v>17450</v>
      </c>
      <c r="CA8" s="111" t="s">
        <v>1301</v>
      </c>
      <c r="CB8" s="4">
        <v>0</v>
      </c>
      <c r="CC8" s="4">
        <v>0</v>
      </c>
      <c r="CD8" s="4">
        <v>0</v>
      </c>
      <c r="CE8" s="4">
        <v>0</v>
      </c>
      <c r="CF8" s="4">
        <v>1</v>
      </c>
      <c r="CG8" s="4">
        <v>1</v>
      </c>
      <c r="CH8" s="4">
        <v>1</v>
      </c>
      <c r="CI8" s="106">
        <v>243000</v>
      </c>
      <c r="CJ8" s="106">
        <v>18900</v>
      </c>
      <c r="CK8" s="115">
        <f>+CI8/CJ8</f>
        <v>12.857142857142858</v>
      </c>
      <c r="CL8" s="3" t="str">
        <f>CONCATENATE(IF(CB8&gt;0,"kotlovnica/toplotna postaja, ",""),IF(CF8&gt;0,"razsvetljava, ",""),IF(CG8&gt;0,"energetsko upravljanje, ",""),IF(CH8&gt;0,"manjši investicijski in organizacijski ukrepi, ",""))</f>
        <v xml:space="preserve">razsvetljava, energetsko upravljanje, manjši investicijski in organizacijski ukrepi, </v>
      </c>
      <c r="CM8" s="9">
        <f>+CJ8*0.9</f>
        <v>17010</v>
      </c>
      <c r="CN8" s="9">
        <f>+CJ8*0.9</f>
        <v>17010</v>
      </c>
      <c r="CO8" s="9">
        <f>+CJ8*0.9</f>
        <v>17010</v>
      </c>
      <c r="CP8" s="69">
        <f>+IF(CI8-SUM(CM8:CO8)&lt;0,0,CI8-SUM(CM8:CO8))</f>
        <v>191970</v>
      </c>
      <c r="CQ8" s="9">
        <f>+(BQ8*CE8*faktorji!$B$24)+(BQ8^0.5*CC8*4*4*0.66*faktorji!$B$22)+(BQ8^0.5*CD8*4*4*0.33*faktorji!$B$25)</f>
        <v>0</v>
      </c>
      <c r="CR8" s="3" t="str">
        <f t="shared" si="1"/>
        <v/>
      </c>
      <c r="CS8" s="9">
        <f>+BQ8*('MOL_tabela rezultatov'!CH8*faktorji!$B$26)+faktorji!$B$27*CG8</f>
        <v>21000</v>
      </c>
      <c r="CT8" s="3" t="str">
        <f t="shared" si="0"/>
        <v xml:space="preserve">energetsko upravljanje, manjši investicijski in organizacijski ukrepi, </v>
      </c>
      <c r="CU8" s="9"/>
      <c r="CV8" s="9"/>
      <c r="CW8" s="9"/>
      <c r="CX8" s="69"/>
    </row>
    <row r="9" spans="1:102" s="10" customFormat="1" ht="18" hidden="1" customHeight="1">
      <c r="A9" s="54" t="s">
        <v>362</v>
      </c>
      <c r="B9" s="3" t="s">
        <v>363</v>
      </c>
      <c r="C9" s="56"/>
      <c r="D9" s="56"/>
      <c r="E9" s="51" t="s">
        <v>331</v>
      </c>
      <c r="F9" s="51" t="s">
        <v>1255</v>
      </c>
      <c r="G9" s="51">
        <v>3</v>
      </c>
      <c r="H9" s="51"/>
      <c r="I9" s="51"/>
      <c r="J9" s="51">
        <v>7</v>
      </c>
      <c r="K9" s="37" t="s">
        <v>1244</v>
      </c>
      <c r="L9" s="50"/>
      <c r="M9" s="4" t="s">
        <v>6</v>
      </c>
      <c r="N9" s="25"/>
      <c r="O9" s="25"/>
      <c r="P9" s="25"/>
      <c r="Q9" s="25"/>
      <c r="R9" s="25"/>
      <c r="S9" s="25">
        <v>415.52393473371484</v>
      </c>
      <c r="T9" s="25">
        <v>172.23020396515764</v>
      </c>
      <c r="U9" s="25">
        <v>172.23020396515764</v>
      </c>
      <c r="V9" s="30">
        <v>72.579099858894921</v>
      </c>
      <c r="W9" s="30">
        <v>175.10490296406019</v>
      </c>
      <c r="X9" s="31"/>
      <c r="Y9" s="31"/>
      <c r="Z9" s="31"/>
      <c r="AA9" s="31"/>
      <c r="AB9" s="31"/>
      <c r="AC9" s="31"/>
      <c r="AD9" s="31"/>
      <c r="AE9" s="32"/>
      <c r="AF9" s="1"/>
      <c r="AG9" s="4"/>
      <c r="AH9" s="4"/>
      <c r="AI9" s="6">
        <v>2373</v>
      </c>
      <c r="AJ9" s="38"/>
      <c r="AK9" s="3"/>
      <c r="AL9" s="1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42"/>
      <c r="BH9" s="42">
        <v>168.8</v>
      </c>
      <c r="BI9" s="42"/>
      <c r="BJ9" s="42"/>
      <c r="BK9" s="44">
        <v>168.8</v>
      </c>
      <c r="BL9" s="44">
        <v>203.38119999999998</v>
      </c>
      <c r="BM9" s="44">
        <f>+BK9+BL9</f>
        <v>372.18119999999999</v>
      </c>
      <c r="BN9" s="47">
        <v>62.081647664582569</v>
      </c>
      <c r="BO9" s="47">
        <v>74.8</v>
      </c>
      <c r="BP9" s="45">
        <v>136.88164766458257</v>
      </c>
      <c r="BQ9" s="9">
        <v>2719</v>
      </c>
      <c r="BR9" s="4"/>
      <c r="BS9" s="4"/>
      <c r="BT9" s="4"/>
      <c r="BU9" s="4"/>
      <c r="BV9" s="4"/>
      <c r="BW9" s="4"/>
      <c r="BX9" s="4"/>
      <c r="BY9" s="9">
        <f>+INT(BK9*faktorji!$B$5)</f>
        <v>16036</v>
      </c>
      <c r="BZ9" s="9">
        <f>+INT(BL9*faktorji!$B$4)</f>
        <v>33557</v>
      </c>
      <c r="CA9" s="4"/>
      <c r="CB9" s="4">
        <v>0</v>
      </c>
      <c r="CC9" s="4">
        <v>0</v>
      </c>
      <c r="CD9" s="4">
        <v>0</v>
      </c>
      <c r="CE9" s="4">
        <v>0</v>
      </c>
      <c r="CF9" s="4">
        <v>1</v>
      </c>
      <c r="CG9" s="4">
        <v>1</v>
      </c>
      <c r="CH9" s="4">
        <v>1</v>
      </c>
      <c r="CI9" s="9">
        <f>+BQ9*(CB9*faktorji!$B$21+'MOL_tabela rezultatov'!CF142*faktorji!$B$23+'MOL_tabela rezultatov'!CH142*faktorji!$B$26)+faktorji!$B$27*CG9</f>
        <v>62863.5</v>
      </c>
      <c r="CJ9" s="9">
        <f>+(BZ9*CF9*faktorji!$B$18)+(CG9*faktorji!$B$17*('MOL_tabela rezultatov'!BY142+'MOL_tabela rezultatov'!BZ142))+('MOL_tabela rezultatov'!CH142*faktorji!$B$16*'MOL_tabela rezultatov'!BY142)+('MOL_tabela rezultatov'!CB142*faktorji!$B$12*'MOL_tabela rezultatov'!BY142)</f>
        <v>6425.6500000000005</v>
      </c>
      <c r="CK9" s="66">
        <f>+CI9/CJ9</f>
        <v>9.7832125932785008</v>
      </c>
      <c r="CL9" s="3" t="str">
        <f>CONCATENATE(IF(CB9&gt;0,"kotlovnica/toplotna postaja, ",""),IF(CF9&gt;0,"razsvetljava, ",""),IF(CG9&gt;0,"energetsko upravljanje, ",""),IF(CH9&gt;0,"manjši investicijski in organizacijski ukrepi, ",""))</f>
        <v xml:space="preserve">razsvetljava, energetsko upravljanje, manjši investicijski in organizacijski ukrepi, </v>
      </c>
      <c r="CM9" s="9">
        <f>+CJ9*0.9</f>
        <v>5783.0850000000009</v>
      </c>
      <c r="CN9" s="9">
        <f>+CJ9*0.9</f>
        <v>5783.0850000000009</v>
      </c>
      <c r="CO9" s="9">
        <f>+CJ9*0.9</f>
        <v>5783.0850000000009</v>
      </c>
      <c r="CP9" s="69">
        <f>+IF(CI9-SUM(CM9:CO9)&lt;0,0,CI9-SUM(CM9:CO9))</f>
        <v>45514.244999999995</v>
      </c>
      <c r="CQ9" s="9">
        <f>+(BQ9*CE9*faktorji!$B$24)+(BQ9^0.5*CC9*4*4*0.66*faktorji!$B$22)+(BQ9^0.5*CD9*4*4*0.33*faktorji!$B$25)</f>
        <v>0</v>
      </c>
      <c r="CR9" s="3" t="str">
        <f t="shared" si="1"/>
        <v/>
      </c>
      <c r="CS9" s="9">
        <f>+BQ9*('MOL_tabela rezultatov'!CH9*faktorji!$B$26)+faktorji!$B$27*CG9</f>
        <v>22078.5</v>
      </c>
      <c r="CT9" s="3" t="str">
        <f t="shared" si="0"/>
        <v xml:space="preserve">energetsko upravljanje, manjši investicijski in organizacijski ukrepi, </v>
      </c>
      <c r="CU9" s="9"/>
      <c r="CV9" s="9"/>
      <c r="CW9" s="9"/>
      <c r="CX9" s="69"/>
    </row>
    <row r="10" spans="1:102" s="10" customFormat="1" ht="18" hidden="1" customHeight="1">
      <c r="A10" s="54" t="s">
        <v>1400</v>
      </c>
      <c r="B10" s="3" t="s">
        <v>366</v>
      </c>
      <c r="C10" s="56"/>
      <c r="D10" s="56"/>
      <c r="E10" s="51" t="s">
        <v>331</v>
      </c>
      <c r="F10" s="51"/>
      <c r="G10" s="51">
        <v>2</v>
      </c>
      <c r="H10" s="51" t="s">
        <v>1255</v>
      </c>
      <c r="I10" s="51"/>
      <c r="J10" s="51">
        <v>5</v>
      </c>
      <c r="K10" s="37" t="s">
        <v>1244</v>
      </c>
      <c r="L10" s="50"/>
      <c r="M10" s="110" t="s">
        <v>6</v>
      </c>
      <c r="N10" s="25">
        <v>398.5</v>
      </c>
      <c r="O10" s="25">
        <v>2849</v>
      </c>
      <c r="P10" s="25"/>
      <c r="Q10" s="25"/>
      <c r="R10" s="25"/>
      <c r="S10" s="25"/>
      <c r="T10" s="25">
        <v>476.67</v>
      </c>
      <c r="U10" s="25">
        <v>3724.17</v>
      </c>
      <c r="V10" s="30">
        <v>60.322703113135915</v>
      </c>
      <c r="W10" s="30">
        <v>410.9719058466211</v>
      </c>
      <c r="X10" s="31"/>
      <c r="Y10" s="31"/>
      <c r="Z10" s="31"/>
      <c r="AA10" s="31"/>
      <c r="AB10" s="31"/>
      <c r="AC10" s="31"/>
      <c r="AD10" s="31"/>
      <c r="AE10" s="32">
        <v>0</v>
      </c>
      <c r="AF10" s="1"/>
      <c r="AG10" s="4" t="s">
        <v>367</v>
      </c>
      <c r="AH10" s="4"/>
      <c r="AI10" s="6">
        <v>7902</v>
      </c>
      <c r="AJ10" s="38">
        <v>100</v>
      </c>
      <c r="AK10" s="3"/>
      <c r="AL10" s="1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42">
        <v>389.5</v>
      </c>
      <c r="BH10" s="42">
        <v>64.099999999999994</v>
      </c>
      <c r="BI10" s="42"/>
      <c r="BJ10" s="42"/>
      <c r="BK10" s="107">
        <v>453.6</v>
      </c>
      <c r="BL10" s="107">
        <v>476.67</v>
      </c>
      <c r="BM10" s="107">
        <f>+BK10+BL10</f>
        <v>930.27</v>
      </c>
      <c r="BN10" s="108">
        <f>+BK10*1000/BQ10</f>
        <v>57.403189066059227</v>
      </c>
      <c r="BO10" s="108">
        <f>+BL10*1000/BQ10</f>
        <v>60.322703113135915</v>
      </c>
      <c r="BP10" s="109">
        <f>+BO10+BN10</f>
        <v>117.72589217919514</v>
      </c>
      <c r="BQ10" s="106">
        <v>7902</v>
      </c>
      <c r="BR10" s="110">
        <v>875</v>
      </c>
      <c r="BS10" s="4"/>
      <c r="BT10" s="4"/>
      <c r="BU10" s="4">
        <v>10</v>
      </c>
      <c r="BV10" s="4"/>
      <c r="BW10" s="4"/>
      <c r="BX10" s="4"/>
      <c r="BY10" s="106">
        <v>297000</v>
      </c>
      <c r="BZ10" s="106">
        <v>88000</v>
      </c>
      <c r="CA10" s="111" t="s">
        <v>1418</v>
      </c>
      <c r="CB10" s="4">
        <v>0</v>
      </c>
      <c r="CC10" s="4">
        <v>0</v>
      </c>
      <c r="CD10" s="4">
        <v>0</v>
      </c>
      <c r="CE10" s="4">
        <v>0</v>
      </c>
      <c r="CF10" s="4">
        <v>0</v>
      </c>
      <c r="CG10" s="4">
        <v>1</v>
      </c>
      <c r="CH10" s="4">
        <v>1</v>
      </c>
      <c r="CI10" s="106">
        <v>367000</v>
      </c>
      <c r="CJ10" s="106">
        <v>26800</v>
      </c>
      <c r="CK10" s="115">
        <f>+CI10/CJ10</f>
        <v>13.694029850746269</v>
      </c>
      <c r="CL10" s="3" t="str">
        <f>CONCATENATE(IF(CB10&gt;0,"kotlovnica/toplotna postaja, ",""),IF(CF10&gt;0,"razsvetljava, ",""),IF(CG10&gt;0,"energetsko upravljanje, ",""),IF(CH10&gt;0,"manjši investicijski in organizacijski ukrepi, ",""))</f>
        <v xml:space="preserve">energetsko upravljanje, manjši investicijski in organizacijski ukrepi, </v>
      </c>
      <c r="CM10" s="9">
        <f>+CJ10*0.9</f>
        <v>24120</v>
      </c>
      <c r="CN10" s="9">
        <f>+CJ10*0.9</f>
        <v>24120</v>
      </c>
      <c r="CO10" s="9">
        <f>+CJ10*0.9</f>
        <v>24120</v>
      </c>
      <c r="CP10" s="69">
        <f>+IF(CI10-SUM(CM10:CO10)&lt;0,0,CI10-SUM(CM10:CO10))</f>
        <v>294640</v>
      </c>
      <c r="CQ10" s="9">
        <f>+(BQ10*CE10*faktorji!$B$24)+(BQ10^0.5*CC10*4*4*0.66*faktorji!$B$22)+(BQ10^0.5*CD10*4*4*0.33*faktorji!$B$25)</f>
        <v>0</v>
      </c>
      <c r="CR10" s="3" t="str">
        <f t="shared" si="1"/>
        <v/>
      </c>
      <c r="CS10" s="9">
        <f>+BQ10*('MOL_tabela rezultatov'!CH10*faktorji!$B$26)+faktorji!$B$27*CG10</f>
        <v>29853</v>
      </c>
      <c r="CT10" s="3" t="str">
        <f t="shared" si="0"/>
        <v xml:space="preserve">energetsko upravljanje, manjši investicijski in organizacijski ukrepi, </v>
      </c>
      <c r="CU10" s="9"/>
      <c r="CV10" s="9"/>
      <c r="CW10" s="9"/>
      <c r="CX10" s="69"/>
    </row>
    <row r="11" spans="1:102" s="10" customFormat="1" ht="18" hidden="1" customHeight="1">
      <c r="A11" s="54" t="s">
        <v>354</v>
      </c>
      <c r="B11" s="3" t="s">
        <v>355</v>
      </c>
      <c r="C11" s="56"/>
      <c r="D11" s="56"/>
      <c r="E11" s="51" t="s">
        <v>331</v>
      </c>
      <c r="F11" s="51"/>
      <c r="G11" s="51">
        <v>3</v>
      </c>
      <c r="H11" s="51" t="s">
        <v>1255</v>
      </c>
      <c r="I11" s="51"/>
      <c r="J11" s="51">
        <v>7</v>
      </c>
      <c r="K11" s="37" t="s">
        <v>1244</v>
      </c>
      <c r="L11" s="50"/>
      <c r="M11" s="4" t="s">
        <v>6</v>
      </c>
      <c r="N11" s="25"/>
      <c r="O11" s="25">
        <v>455.9</v>
      </c>
      <c r="P11" s="25"/>
      <c r="Q11" s="25"/>
      <c r="R11" s="25"/>
      <c r="S11" s="25"/>
      <c r="T11" s="25">
        <v>139.1</v>
      </c>
      <c r="U11" s="25">
        <v>595</v>
      </c>
      <c r="V11" s="30">
        <v>35.666666666666664</v>
      </c>
      <c r="W11" s="30">
        <v>116.8974358974359</v>
      </c>
      <c r="X11" s="31"/>
      <c r="Y11" s="31"/>
      <c r="Z11" s="31"/>
      <c r="AA11" s="31"/>
      <c r="AB11" s="31"/>
      <c r="AC11" s="31"/>
      <c r="AD11" s="31"/>
      <c r="AE11" s="32">
        <v>0</v>
      </c>
      <c r="AF11" s="1" t="s">
        <v>356</v>
      </c>
      <c r="AG11" s="4"/>
      <c r="AH11" s="4" t="s">
        <v>357</v>
      </c>
      <c r="AI11" s="6">
        <v>3900</v>
      </c>
      <c r="AJ11" s="38">
        <v>100</v>
      </c>
      <c r="AK11" s="16" t="s">
        <v>358</v>
      </c>
      <c r="AL11" s="1" t="s">
        <v>26</v>
      </c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42"/>
      <c r="BH11" s="42"/>
      <c r="BI11" s="42"/>
      <c r="BJ11" s="42"/>
      <c r="BK11" s="44"/>
      <c r="BL11" s="44"/>
      <c r="BM11" s="44">
        <f>+BK11+BL11</f>
        <v>0</v>
      </c>
      <c r="BN11" s="47"/>
      <c r="BO11" s="47"/>
      <c r="BP11" s="45"/>
      <c r="BQ11" s="9"/>
      <c r="BR11" s="4"/>
      <c r="BS11" s="4"/>
      <c r="BT11" s="4"/>
      <c r="BU11" s="4"/>
      <c r="BV11" s="4"/>
      <c r="BW11" s="4"/>
      <c r="BX11" s="4" t="s">
        <v>1163</v>
      </c>
      <c r="BY11" s="9">
        <f>+INT(BK11*faktorji!$B$5)</f>
        <v>0</v>
      </c>
      <c r="BZ11" s="9">
        <f>+INT(BL11*faktorji!$B$4)</f>
        <v>0</v>
      </c>
      <c r="CA11" s="4"/>
      <c r="CB11" s="4">
        <v>0</v>
      </c>
      <c r="CC11" s="4">
        <v>0</v>
      </c>
      <c r="CD11" s="4">
        <v>0</v>
      </c>
      <c r="CE11" s="4">
        <v>0</v>
      </c>
      <c r="CF11" s="4">
        <v>1</v>
      </c>
      <c r="CG11" s="4">
        <v>1</v>
      </c>
      <c r="CH11" s="4">
        <v>1</v>
      </c>
      <c r="CI11" s="9">
        <f>+BQ11*(CB11*faktorji!$B$21+'MOL_tabela rezultatov'!CF140*faktorji!$B$23+'MOL_tabela rezultatov'!CH140*faktorji!$B$26)+faktorji!$B$27*CG11</f>
        <v>18000</v>
      </c>
      <c r="CJ11" s="9">
        <f>+(BZ11*CF11*faktorji!$B$18)+(CG11*faktorji!$B$17*('MOL_tabela rezultatov'!BY140+'MOL_tabela rezultatov'!BZ140))+('MOL_tabela rezultatov'!CH140*faktorji!$B$16*'MOL_tabela rezultatov'!BY140)+('MOL_tabela rezultatov'!CB140*faktorji!$B$12*'MOL_tabela rezultatov'!BY140)</f>
        <v>87834</v>
      </c>
      <c r="CK11" s="66">
        <f>+CI11/CJ11</f>
        <v>0.20493203087642597</v>
      </c>
      <c r="CL11" s="3" t="str">
        <f>CONCATENATE(IF(CB11&gt;0,"kotlovnica/toplotna postaja, ",""),IF(CF11&gt;0,"razsvetljava, ",""),IF(CG11&gt;0,"energetsko upravljanje, ",""),IF(CH11&gt;0,"manjši investicijski in organizacijski ukrepi, ",""))</f>
        <v xml:space="preserve">razsvetljava, energetsko upravljanje, manjši investicijski in organizacijski ukrepi, </v>
      </c>
      <c r="CM11" s="9">
        <f>+CJ11*0.9</f>
        <v>79050.600000000006</v>
      </c>
      <c r="CN11" s="9">
        <f>+CJ11*0.9</f>
        <v>79050.600000000006</v>
      </c>
      <c r="CO11" s="9">
        <f>+CJ11*0.9</f>
        <v>79050.600000000006</v>
      </c>
      <c r="CP11" s="69">
        <f>+IF(CI11-SUM(CM11:CO11)&lt;0,0,CI11-SUM(CM11:CO11))</f>
        <v>0</v>
      </c>
      <c r="CQ11" s="9">
        <f>+(BQ11*CE11*faktorji!$B$24)+(BQ11^0.5*CC11*4*4*0.66*faktorji!$B$22)+(BQ11^0.5*CD11*4*4*0.33*faktorji!$B$25)</f>
        <v>0</v>
      </c>
      <c r="CR11" s="3" t="str">
        <f t="shared" si="1"/>
        <v/>
      </c>
      <c r="CS11" s="9">
        <f>+BQ11*('MOL_tabela rezultatov'!CH11*faktorji!$B$26)+faktorji!$B$27*CG11</f>
        <v>18000</v>
      </c>
      <c r="CT11" s="3" t="str">
        <f t="shared" si="0"/>
        <v xml:space="preserve">energetsko upravljanje, manjši investicijski in organizacijski ukrepi, </v>
      </c>
      <c r="CU11" s="9"/>
      <c r="CV11" s="9"/>
      <c r="CW11" s="9"/>
      <c r="CX11" s="69"/>
    </row>
    <row r="12" spans="1:102" s="10" customFormat="1" ht="18" hidden="1" customHeight="1">
      <c r="A12" s="53" t="s">
        <v>402</v>
      </c>
      <c r="B12" s="2" t="s">
        <v>403</v>
      </c>
      <c r="C12" s="57"/>
      <c r="D12" s="57"/>
      <c r="E12" s="51" t="s">
        <v>331</v>
      </c>
      <c r="F12" s="51" t="s">
        <v>1255</v>
      </c>
      <c r="G12" s="51">
        <v>3</v>
      </c>
      <c r="H12" s="51"/>
      <c r="I12" s="51"/>
      <c r="J12" s="51">
        <v>7</v>
      </c>
      <c r="K12" s="37" t="s">
        <v>1244</v>
      </c>
      <c r="L12" s="50"/>
      <c r="M12" s="4" t="s">
        <v>5</v>
      </c>
      <c r="N12" s="25">
        <v>45.3</v>
      </c>
      <c r="O12" s="25"/>
      <c r="P12" s="25"/>
      <c r="Q12" s="25"/>
      <c r="R12" s="25"/>
      <c r="S12" s="25"/>
      <c r="T12" s="25">
        <v>22.439</v>
      </c>
      <c r="U12" s="25">
        <v>67.739000000000004</v>
      </c>
      <c r="V12" s="30">
        <v>42.822519083969468</v>
      </c>
      <c r="W12" s="30">
        <v>86.450381679389309</v>
      </c>
      <c r="X12" s="31">
        <v>40.200000000000003</v>
      </c>
      <c r="Y12" s="31"/>
      <c r="Z12" s="31"/>
      <c r="AA12" s="31"/>
      <c r="AB12" s="31"/>
      <c r="AC12" s="31">
        <v>22.61</v>
      </c>
      <c r="AD12" s="31"/>
      <c r="AE12" s="32">
        <v>76.717557251908403</v>
      </c>
      <c r="AF12" s="1"/>
      <c r="AG12" s="4"/>
      <c r="AH12" s="4">
        <v>1982</v>
      </c>
      <c r="AI12" s="6">
        <v>524</v>
      </c>
      <c r="AJ12" s="38">
        <v>100</v>
      </c>
      <c r="AK12" s="34" t="s">
        <v>92</v>
      </c>
      <c r="AL12" s="15" t="s">
        <v>404</v>
      </c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42">
        <v>44.8</v>
      </c>
      <c r="BH12" s="42"/>
      <c r="BI12" s="42"/>
      <c r="BJ12" s="42"/>
      <c r="BK12" s="44">
        <v>44.8</v>
      </c>
      <c r="BL12" s="44">
        <v>22.44</v>
      </c>
      <c r="BM12" s="44">
        <f>+BK12+BL12</f>
        <v>67.239999999999995</v>
      </c>
      <c r="BN12" s="47">
        <v>85.496183206106863</v>
      </c>
      <c r="BO12" s="47">
        <v>42.824427480916029</v>
      </c>
      <c r="BP12" s="45">
        <v>128.32061068702291</v>
      </c>
      <c r="BQ12" s="9">
        <v>524</v>
      </c>
      <c r="BR12" s="4"/>
      <c r="BS12" s="4"/>
      <c r="BT12" s="4"/>
      <c r="BU12" s="4"/>
      <c r="BV12" s="4"/>
      <c r="BW12" s="4"/>
      <c r="BX12" s="4"/>
      <c r="BY12" s="9">
        <f>+INT(BK12*faktorji!$B$3)</f>
        <v>2912</v>
      </c>
      <c r="BZ12" s="9">
        <f>+INT(BL12*faktorji!$B$4)</f>
        <v>3702</v>
      </c>
      <c r="CA12" s="4"/>
      <c r="CB12" s="4">
        <v>0</v>
      </c>
      <c r="CC12" s="4">
        <v>0</v>
      </c>
      <c r="CD12" s="4">
        <v>0</v>
      </c>
      <c r="CE12" s="4">
        <v>0</v>
      </c>
      <c r="CF12" s="4">
        <v>0</v>
      </c>
      <c r="CG12" s="4">
        <v>1</v>
      </c>
      <c r="CH12" s="4">
        <v>1</v>
      </c>
      <c r="CI12" s="9">
        <f>+BQ12*(CB12*faktorji!$B$21+'MOL_tabela rezultatov'!CF159*faktorji!$B$23+'MOL_tabela rezultatov'!CH159*faktorji!$B$26)+faktorji!$B$27*CG12</f>
        <v>18786</v>
      </c>
      <c r="CJ12" s="9">
        <f>+(BZ12*CF12*faktorji!$B$18)+(CG12*faktorji!$B$17*('MOL_tabela rezultatov'!BY159+'MOL_tabela rezultatov'!BZ159))+('MOL_tabela rezultatov'!CH159*faktorji!$B$16*'MOL_tabela rezultatov'!BY159)+('MOL_tabela rezultatov'!CB159*faktorji!$B$12*'MOL_tabela rezultatov'!BY159)</f>
        <v>468.40000000000003</v>
      </c>
      <c r="CK12" s="66">
        <f>+CI12/CJ12</f>
        <v>40.106746370623398</v>
      </c>
      <c r="CL12" s="3" t="str">
        <f>CONCATENATE(IF(CB12&gt;0,"kotlovnica/toplotna postaja, ",""),IF(CF12&gt;0,"razsvetljava, ",""),IF(CG12&gt;0,"energetsko upravljanje, ",""),IF(CH12&gt;0,"manjši investicijski in organizacijski ukrepi, ",""))</f>
        <v xml:space="preserve">energetsko upravljanje, manjši investicijski in organizacijski ukrepi, </v>
      </c>
      <c r="CM12" s="9">
        <f>+CJ12*0.9</f>
        <v>421.56000000000006</v>
      </c>
      <c r="CN12" s="9">
        <f>+CJ12*0.9</f>
        <v>421.56000000000006</v>
      </c>
      <c r="CO12" s="9">
        <f>+CJ12*0.9</f>
        <v>421.56000000000006</v>
      </c>
      <c r="CP12" s="69">
        <f>+IF(CI12-SUM(CM12:CO12)&lt;0,0,CI12-SUM(CM12:CO12))</f>
        <v>17521.32</v>
      </c>
      <c r="CQ12" s="9">
        <f>+(BQ12*CE12*faktorji!$B$24)+(BQ12^0.5*CC12*4*4*0.66*faktorji!$B$22)+(BQ12^0.5*CD12*4*4*0.33*faktorji!$B$25)</f>
        <v>0</v>
      </c>
      <c r="CR12" s="3" t="str">
        <f t="shared" si="1"/>
        <v/>
      </c>
      <c r="CS12" s="9">
        <f>+BQ12*('MOL_tabela rezultatov'!CH12*faktorji!$B$26)+faktorji!$B$27*CG12</f>
        <v>18786</v>
      </c>
      <c r="CT12" s="3" t="str">
        <f t="shared" si="0"/>
        <v xml:space="preserve">energetsko upravljanje, manjši investicijski in organizacijski ukrepi, </v>
      </c>
      <c r="CU12" s="9"/>
      <c r="CV12" s="9"/>
      <c r="CW12" s="9"/>
      <c r="CX12" s="69"/>
    </row>
    <row r="13" spans="1:102" s="10" customFormat="1" ht="18" hidden="1" customHeight="1">
      <c r="A13" s="54" t="s">
        <v>349</v>
      </c>
      <c r="B13" s="3" t="s">
        <v>350</v>
      </c>
      <c r="C13" s="56"/>
      <c r="D13" s="56"/>
      <c r="E13" s="51" t="s">
        <v>331</v>
      </c>
      <c r="F13" s="51" t="s">
        <v>1255</v>
      </c>
      <c r="G13" s="51">
        <v>3</v>
      </c>
      <c r="H13" s="51"/>
      <c r="I13" s="51"/>
      <c r="J13" s="51">
        <v>7</v>
      </c>
      <c r="K13" s="37" t="s">
        <v>1241</v>
      </c>
      <c r="L13" s="50"/>
      <c r="M13" s="4" t="s">
        <v>6</v>
      </c>
      <c r="N13" s="25"/>
      <c r="O13" s="25"/>
      <c r="P13" s="25"/>
      <c r="Q13" s="25"/>
      <c r="R13" s="25"/>
      <c r="S13" s="25">
        <v>23.113847191255942</v>
      </c>
      <c r="T13" s="25">
        <v>23</v>
      </c>
      <c r="U13" s="25">
        <v>23</v>
      </c>
      <c r="V13" s="30">
        <v>174.24242424242425</v>
      </c>
      <c r="W13" s="30">
        <v>175.10490296406019</v>
      </c>
      <c r="X13" s="31"/>
      <c r="Y13" s="31"/>
      <c r="Z13" s="31"/>
      <c r="AA13" s="31"/>
      <c r="AB13" s="31"/>
      <c r="AC13" s="31">
        <v>22.85</v>
      </c>
      <c r="AD13" s="31"/>
      <c r="AE13" s="32">
        <v>0</v>
      </c>
      <c r="AF13" s="1"/>
      <c r="AG13" s="4"/>
      <c r="AH13" s="4">
        <v>1981</v>
      </c>
      <c r="AI13" s="6">
        <v>132</v>
      </c>
      <c r="AJ13" s="38">
        <v>100</v>
      </c>
      <c r="AK13" s="3" t="s">
        <v>351</v>
      </c>
      <c r="AL13" s="1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42"/>
      <c r="BH13" s="42">
        <v>17.846399999999999</v>
      </c>
      <c r="BI13" s="42"/>
      <c r="BJ13" s="42"/>
      <c r="BK13" s="44">
        <v>17.846399999999999</v>
      </c>
      <c r="BL13" s="44">
        <v>23</v>
      </c>
      <c r="BM13" s="44">
        <f>+BK13+BL13</f>
        <v>40.846400000000003</v>
      </c>
      <c r="BN13" s="47">
        <v>135.19999999999999</v>
      </c>
      <c r="BO13" s="47">
        <v>174.24242424242425</v>
      </c>
      <c r="BP13" s="45">
        <v>309.44242424242424</v>
      </c>
      <c r="BQ13" s="9">
        <v>132</v>
      </c>
      <c r="BR13" s="4"/>
      <c r="BS13" s="4"/>
      <c r="BT13" s="4"/>
      <c r="BU13" s="4"/>
      <c r="BV13" s="4"/>
      <c r="BW13" s="4"/>
      <c r="BX13" s="4"/>
      <c r="BY13" s="9">
        <f>+INT(BK13*faktorji!$B$5)</f>
        <v>1695</v>
      </c>
      <c r="BZ13" s="9">
        <f>+INT(BL13*faktorji!$B$4)</f>
        <v>3795</v>
      </c>
      <c r="CA13" s="4"/>
      <c r="CB13" s="4">
        <v>0</v>
      </c>
      <c r="CC13" s="4">
        <v>0</v>
      </c>
      <c r="CD13" s="4">
        <v>0</v>
      </c>
      <c r="CE13" s="4">
        <v>0</v>
      </c>
      <c r="CF13" s="4">
        <v>1</v>
      </c>
      <c r="CG13" s="4">
        <v>1</v>
      </c>
      <c r="CH13" s="4">
        <v>1</v>
      </c>
      <c r="CI13" s="9" t="e">
        <f>+BQ13*(CB13*faktorji!$B$21+'MOL_tabela rezultatov'!#REF!*faktorji!$B$23+'MOL_tabela rezultatov'!#REF!*faktorji!$B$26)+faktorji!$B$27*CG13</f>
        <v>#REF!</v>
      </c>
      <c r="CJ13" s="9" t="e">
        <f>+(BZ13*CF13*faktorji!$B$18)+(CG13*faktorji!$B$17*('MOL_tabela rezultatov'!#REF!+'MOL_tabela rezultatov'!#REF!))+('MOL_tabela rezultatov'!#REF!*faktorji!$B$16*'MOL_tabela rezultatov'!#REF!)+('MOL_tabela rezultatov'!#REF!*faktorji!$B$12*'MOL_tabela rezultatov'!#REF!)</f>
        <v>#REF!</v>
      </c>
      <c r="CK13" s="66" t="e">
        <f>+CI13/CJ13</f>
        <v>#REF!</v>
      </c>
      <c r="CL13" s="3" t="str">
        <f>CONCATENATE(IF(CB13&gt;0,"kotlovnica/toplotna postaja, ",""),IF(CF13&gt;0,"razsvetljava, ",""),IF(CG13&gt;0,"energetsko upravljanje, ",""),IF(CH13&gt;0,"manjši investicijski in organizacijski ukrepi, ",""))</f>
        <v xml:space="preserve">razsvetljava, energetsko upravljanje, manjši investicijski in organizacijski ukrepi, </v>
      </c>
      <c r="CM13" s="9" t="e">
        <f>+CJ13*0.9</f>
        <v>#REF!</v>
      </c>
      <c r="CN13" s="9" t="e">
        <f>+CJ13*0.9</f>
        <v>#REF!</v>
      </c>
      <c r="CO13" s="9" t="e">
        <f>+CJ13*0.9</f>
        <v>#REF!</v>
      </c>
      <c r="CP13" s="69" t="e">
        <f>+IF(CI13-SUM(CM13:CO13)&lt;0,0,CI13-SUM(CM13:CO13))</f>
        <v>#REF!</v>
      </c>
      <c r="CQ13" s="9">
        <f>+(BQ13*CE13*faktorji!$B$24)+(BQ13^0.5*CC13*4*4*0.66*faktorji!$B$22)+(BQ13^0.5*CD13*4*4*0.33*faktorji!$B$25)</f>
        <v>0</v>
      </c>
      <c r="CR13" s="3" t="str">
        <f t="shared" si="1"/>
        <v/>
      </c>
      <c r="CS13" s="9">
        <f>+BQ13*('MOL_tabela rezultatov'!CH13*faktorji!$B$26)+faktorji!$B$27*CG13</f>
        <v>18198</v>
      </c>
      <c r="CT13" s="3" t="str">
        <f t="shared" si="0"/>
        <v xml:space="preserve">energetsko upravljanje, manjši investicijski in organizacijski ukrepi, </v>
      </c>
      <c r="CU13" s="9"/>
      <c r="CV13" s="9"/>
      <c r="CW13" s="9"/>
      <c r="CX13" s="69"/>
    </row>
    <row r="14" spans="1:102" s="10" customFormat="1" ht="18" hidden="1" customHeight="1">
      <c r="A14" s="54" t="s">
        <v>390</v>
      </c>
      <c r="B14" s="3" t="s">
        <v>391</v>
      </c>
      <c r="C14" s="56"/>
      <c r="D14" s="56"/>
      <c r="E14" s="51" t="s">
        <v>331</v>
      </c>
      <c r="F14" s="51" t="s">
        <v>1255</v>
      </c>
      <c r="G14" s="51">
        <v>3</v>
      </c>
      <c r="H14" s="51"/>
      <c r="I14" s="51"/>
      <c r="J14" s="51">
        <v>7</v>
      </c>
      <c r="K14" s="37" t="s">
        <v>1242</v>
      </c>
      <c r="L14" s="50"/>
      <c r="M14" s="4" t="s">
        <v>7</v>
      </c>
      <c r="N14" s="25"/>
      <c r="O14" s="25"/>
      <c r="P14" s="25">
        <v>227.63637385327823</v>
      </c>
      <c r="Q14" s="25"/>
      <c r="R14" s="25"/>
      <c r="S14" s="25"/>
      <c r="T14" s="25">
        <v>94.3528298165634</v>
      </c>
      <c r="U14" s="25">
        <v>321.98920366984163</v>
      </c>
      <c r="V14" s="30">
        <v>72.579099858894921</v>
      </c>
      <c r="W14" s="30">
        <v>175.10490296406019</v>
      </c>
      <c r="X14" s="31"/>
      <c r="Y14" s="31"/>
      <c r="Z14" s="31"/>
      <c r="AA14" s="31"/>
      <c r="AB14" s="31"/>
      <c r="AC14" s="31"/>
      <c r="AD14" s="31"/>
      <c r="AE14" s="32"/>
      <c r="AF14" s="1"/>
      <c r="AG14" s="4"/>
      <c r="AH14" s="4"/>
      <c r="AI14" s="6">
        <v>1300</v>
      </c>
      <c r="AJ14" s="38"/>
      <c r="AK14" s="3"/>
      <c r="AL14" s="1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42"/>
      <c r="BH14" s="42"/>
      <c r="BI14" s="42"/>
      <c r="BJ14" s="42"/>
      <c r="BK14" s="44"/>
      <c r="BL14" s="44"/>
      <c r="BM14" s="44">
        <f>+BK14+BL14</f>
        <v>0</v>
      </c>
      <c r="BN14" s="47"/>
      <c r="BO14" s="47"/>
      <c r="BP14" s="45"/>
      <c r="BQ14" s="9"/>
      <c r="BR14" s="4"/>
      <c r="BS14" s="4"/>
      <c r="BT14" s="4"/>
      <c r="BU14" s="4"/>
      <c r="BV14" s="4"/>
      <c r="BW14" s="4"/>
      <c r="BX14" s="4" t="s">
        <v>858</v>
      </c>
      <c r="BY14" s="9">
        <f>+INT(BK14*faktorji!$B$6)</f>
        <v>0</v>
      </c>
      <c r="BZ14" s="9">
        <f>+INT(BL14*faktorji!$B$4)</f>
        <v>0</v>
      </c>
      <c r="CA14" s="4"/>
      <c r="CB14" s="4">
        <v>0</v>
      </c>
      <c r="CC14" s="4">
        <v>0</v>
      </c>
      <c r="CD14" s="4">
        <v>0</v>
      </c>
      <c r="CE14" s="4">
        <v>0</v>
      </c>
      <c r="CF14" s="4">
        <v>0</v>
      </c>
      <c r="CG14" s="4">
        <v>1</v>
      </c>
      <c r="CH14" s="4">
        <v>1</v>
      </c>
      <c r="CI14" s="9">
        <f>+BQ14*(CB14*faktorji!$B$21+'MOL_tabela rezultatov'!CF155*faktorji!$B$23+'MOL_tabela rezultatov'!CH155*faktorji!$B$26)+faktorji!$B$27*CG14</f>
        <v>18000</v>
      </c>
      <c r="CJ14" s="9">
        <f>+(BZ14*CF14*faktorji!$B$18)+(CG14*faktorji!$B$17*('MOL_tabela rezultatov'!BY155+'MOL_tabela rezultatov'!BZ155))+('MOL_tabela rezultatov'!CH155*faktorji!$B$16*'MOL_tabela rezultatov'!BY155)+('MOL_tabela rezultatov'!CB155*faktorji!$B$12*'MOL_tabela rezultatov'!BY155)</f>
        <v>5130</v>
      </c>
      <c r="CK14" s="66">
        <f>+CI14/CJ14</f>
        <v>3.5087719298245612</v>
      </c>
      <c r="CL14" s="3" t="str">
        <f>CONCATENATE(IF(CB14&gt;0,"kotlovnica/toplotna postaja, ",""),IF(CF14&gt;0,"razsvetljava, ",""),IF(CG14&gt;0,"energetsko upravljanje, ",""),IF(CH14&gt;0,"manjši investicijski in organizacijski ukrepi, ",""))</f>
        <v xml:space="preserve">energetsko upravljanje, manjši investicijski in organizacijski ukrepi, </v>
      </c>
      <c r="CM14" s="9">
        <f>+CJ14*0.9</f>
        <v>4617</v>
      </c>
      <c r="CN14" s="9">
        <f>+CJ14*0.9</f>
        <v>4617</v>
      </c>
      <c r="CO14" s="9">
        <f>+CJ14*0.9</f>
        <v>4617</v>
      </c>
      <c r="CP14" s="69">
        <f>+IF(CI14-SUM(CM14:CO14)&lt;0,0,CI14-SUM(CM14:CO14))</f>
        <v>4149</v>
      </c>
      <c r="CQ14" s="9">
        <f>+(BQ14*CE14*faktorji!$B$24)+(BQ14^0.5*CC14*4*4*0.66*faktorji!$B$22)+(BQ14^0.5*CD14*4*4*0.33*faktorji!$B$25)</f>
        <v>0</v>
      </c>
      <c r="CR14" s="3" t="str">
        <f t="shared" si="1"/>
        <v/>
      </c>
      <c r="CS14" s="9">
        <f>+BQ14*('MOL_tabela rezultatov'!CH14*faktorji!$B$26)+faktorji!$B$27*CG14</f>
        <v>18000</v>
      </c>
      <c r="CT14" s="3" t="str">
        <f t="shared" si="0"/>
        <v xml:space="preserve">energetsko upravljanje, manjši investicijski in organizacijski ukrepi, </v>
      </c>
      <c r="CU14" s="9"/>
      <c r="CV14" s="9"/>
      <c r="CW14" s="9"/>
      <c r="CX14" s="69"/>
    </row>
    <row r="15" spans="1:102" s="10" customFormat="1" ht="18" hidden="1" customHeight="1">
      <c r="A15" s="54" t="s">
        <v>381</v>
      </c>
      <c r="B15" s="3" t="s">
        <v>382</v>
      </c>
      <c r="C15" s="56"/>
      <c r="D15" s="56"/>
      <c r="E15" s="51" t="s">
        <v>331</v>
      </c>
      <c r="F15" s="51" t="s">
        <v>1255</v>
      </c>
      <c r="G15" s="51">
        <v>3</v>
      </c>
      <c r="H15" s="51"/>
      <c r="I15" s="51"/>
      <c r="J15" s="51">
        <v>7</v>
      </c>
      <c r="K15" s="37" t="s">
        <v>1242</v>
      </c>
      <c r="L15" s="50"/>
      <c r="M15" s="1" t="s">
        <v>7</v>
      </c>
      <c r="N15" s="25"/>
      <c r="O15" s="25"/>
      <c r="P15" s="25">
        <v>40</v>
      </c>
      <c r="Q15" s="25"/>
      <c r="R15" s="25"/>
      <c r="S15" s="25"/>
      <c r="T15" s="25">
        <v>18.172000000000001</v>
      </c>
      <c r="U15" s="25">
        <v>58.171999999999997</v>
      </c>
      <c r="V15" s="30">
        <v>30.286666666666665</v>
      </c>
      <c r="W15" s="30">
        <v>66.666666666666671</v>
      </c>
      <c r="X15" s="31"/>
      <c r="Y15" s="31"/>
      <c r="Z15" s="31">
        <v>40</v>
      </c>
      <c r="AA15" s="31"/>
      <c r="AB15" s="31"/>
      <c r="AC15" s="31"/>
      <c r="AD15" s="31"/>
      <c r="AE15" s="32">
        <v>66.666666666666671</v>
      </c>
      <c r="AF15" s="1"/>
      <c r="AG15" s="4"/>
      <c r="AH15" s="4">
        <v>1969</v>
      </c>
      <c r="AI15" s="6">
        <v>600</v>
      </c>
      <c r="AJ15" s="38">
        <v>100</v>
      </c>
      <c r="AK15" s="3"/>
      <c r="AL15" s="1" t="s">
        <v>383</v>
      </c>
      <c r="AM15" s="37"/>
      <c r="AN15" s="37"/>
      <c r="AO15" s="37"/>
      <c r="AP15" s="37"/>
      <c r="AQ15" s="37"/>
      <c r="AR15" s="37"/>
      <c r="AS15" s="37"/>
      <c r="AT15" s="37"/>
      <c r="AU15" s="37">
        <v>30</v>
      </c>
      <c r="AV15" s="37">
        <v>28</v>
      </c>
      <c r="AW15" s="37">
        <v>30</v>
      </c>
      <c r="AX15" s="37">
        <v>31</v>
      </c>
      <c r="AY15" s="37"/>
      <c r="AZ15" s="37"/>
      <c r="BA15" s="37"/>
      <c r="BB15" s="37"/>
      <c r="BC15" s="37"/>
      <c r="BD15" s="37"/>
      <c r="BE15" s="37"/>
      <c r="BF15" s="37"/>
      <c r="BG15" s="42"/>
      <c r="BH15" s="42"/>
      <c r="BI15" s="42">
        <v>29.75</v>
      </c>
      <c r="BJ15" s="42"/>
      <c r="BK15" s="44">
        <v>29.75</v>
      </c>
      <c r="BL15" s="44">
        <v>18.170000000000002</v>
      </c>
      <c r="BM15" s="44">
        <f>+BK15+BL15</f>
        <v>47.92</v>
      </c>
      <c r="BN15" s="47">
        <v>40.697674418604649</v>
      </c>
      <c r="BO15" s="47">
        <v>24.856361149110807</v>
      </c>
      <c r="BP15" s="45">
        <v>65.554035567715459</v>
      </c>
      <c r="BQ15" s="9">
        <v>731</v>
      </c>
      <c r="BR15" s="4">
        <v>17</v>
      </c>
      <c r="BS15" s="4">
        <v>1975</v>
      </c>
      <c r="BT15" s="4" t="s">
        <v>1158</v>
      </c>
      <c r="BU15" s="4"/>
      <c r="BV15" s="4"/>
      <c r="BW15" s="4" t="s">
        <v>874</v>
      </c>
      <c r="BX15" s="4"/>
      <c r="BY15" s="9">
        <f>+INT(BK15*faktorji!$B$6)</f>
        <v>3718</v>
      </c>
      <c r="BZ15" s="9">
        <f>+INT(BL15*faktorji!$B$4)</f>
        <v>2998</v>
      </c>
      <c r="CA15" s="4"/>
      <c r="CB15" s="4">
        <v>0</v>
      </c>
      <c r="CC15" s="4">
        <v>0</v>
      </c>
      <c r="CD15" s="4">
        <v>0</v>
      </c>
      <c r="CE15" s="4">
        <v>0</v>
      </c>
      <c r="CF15" s="4">
        <v>0</v>
      </c>
      <c r="CG15" s="4">
        <v>1</v>
      </c>
      <c r="CH15" s="4">
        <v>1</v>
      </c>
      <c r="CI15" s="9">
        <f>+BQ15*(CB15*faktorji!$B$21+'MOL_tabela rezultatov'!CF151*faktorji!$B$23+'MOL_tabela rezultatov'!CH151*faktorji!$B$26)+faktorji!$B$27*CG15</f>
        <v>30061.5</v>
      </c>
      <c r="CJ15" s="9">
        <f>+(BZ15*CF15*faktorji!$B$18)+(CG15*faktorji!$B$17*('MOL_tabela rezultatov'!BY151+'MOL_tabela rezultatov'!BZ151))+('MOL_tabela rezultatov'!CH151*faktorji!$B$16*'MOL_tabela rezultatov'!BY151)+('MOL_tabela rezultatov'!CB151*faktorji!$B$12*'MOL_tabela rezultatov'!BY151)</f>
        <v>5320.7000000000007</v>
      </c>
      <c r="CK15" s="66">
        <f>+CI15/CJ15</f>
        <v>5.6499144849361915</v>
      </c>
      <c r="CL15" s="3" t="str">
        <f>CONCATENATE(IF(CB15&gt;0,"kotlovnica/toplotna postaja, ",""),IF(CF15&gt;0,"razsvetljava, ",""),IF(CG15&gt;0,"energetsko upravljanje, ",""),IF(CH15&gt;0,"manjši investicijski in organizacijski ukrepi, ",""))</f>
        <v xml:space="preserve">energetsko upravljanje, manjši investicijski in organizacijski ukrepi, </v>
      </c>
      <c r="CM15" s="9">
        <f>+CJ15*0.9</f>
        <v>4788.630000000001</v>
      </c>
      <c r="CN15" s="9">
        <f>+CJ15*0.9</f>
        <v>4788.630000000001</v>
      </c>
      <c r="CO15" s="9">
        <f>+CJ15*0.9</f>
        <v>4788.630000000001</v>
      </c>
      <c r="CP15" s="69">
        <f>+IF(CI15-SUM(CM15:CO15)&lt;0,0,CI15-SUM(CM15:CO15))</f>
        <v>15695.609999999997</v>
      </c>
      <c r="CQ15" s="9">
        <f>+(BQ15*CE15*faktorji!$B$24)+(BQ15^0.5*CC15*4*4*0.66*faktorji!$B$22)+(BQ15^0.5*CD15*4*4*0.33*faktorji!$B$25)</f>
        <v>0</v>
      </c>
      <c r="CR15" s="3" t="str">
        <f t="shared" si="1"/>
        <v/>
      </c>
      <c r="CS15" s="9">
        <f>+BQ15*('MOL_tabela rezultatov'!CH15*faktorji!$B$26)+faktorji!$B$27*CG15</f>
        <v>19096.5</v>
      </c>
      <c r="CT15" s="3" t="str">
        <f t="shared" si="0"/>
        <v xml:space="preserve">energetsko upravljanje, manjši investicijski in organizacijski ukrepi, </v>
      </c>
      <c r="CU15" s="9"/>
      <c r="CV15" s="9"/>
      <c r="CW15" s="9"/>
      <c r="CX15" s="69"/>
    </row>
    <row r="16" spans="1:102" s="10" customFormat="1" ht="18" hidden="1" customHeight="1">
      <c r="A16" s="54" t="s">
        <v>377</v>
      </c>
      <c r="B16" s="3" t="s">
        <v>378</v>
      </c>
      <c r="C16" s="56"/>
      <c r="D16" s="56"/>
      <c r="E16" s="51" t="s">
        <v>331</v>
      </c>
      <c r="F16" s="51" t="s">
        <v>1255</v>
      </c>
      <c r="G16" s="51">
        <v>3</v>
      </c>
      <c r="H16" s="51"/>
      <c r="I16" s="51"/>
      <c r="J16" s="51">
        <v>7</v>
      </c>
      <c r="K16" s="37" t="s">
        <v>1244</v>
      </c>
      <c r="L16" s="50"/>
      <c r="M16" s="4" t="s">
        <v>6</v>
      </c>
      <c r="N16" s="25"/>
      <c r="O16" s="25"/>
      <c r="P16" s="25"/>
      <c r="Q16" s="25"/>
      <c r="R16" s="25"/>
      <c r="S16" s="25">
        <v>415.52393473371484</v>
      </c>
      <c r="T16" s="25">
        <v>172.23020396515764</v>
      </c>
      <c r="U16" s="25">
        <v>172.23020396515764</v>
      </c>
      <c r="V16" s="30">
        <v>72.579099858894921</v>
      </c>
      <c r="W16" s="30">
        <v>175.10490296406019</v>
      </c>
      <c r="X16" s="31"/>
      <c r="Y16" s="31"/>
      <c r="Z16" s="31"/>
      <c r="AA16" s="31"/>
      <c r="AB16" s="31"/>
      <c r="AC16" s="31"/>
      <c r="AD16" s="31"/>
      <c r="AE16" s="32"/>
      <c r="AF16" s="1"/>
      <c r="AG16" s="4"/>
      <c r="AH16" s="4"/>
      <c r="AI16" s="6">
        <v>2373</v>
      </c>
      <c r="AJ16" s="38"/>
      <c r="AK16" s="3"/>
      <c r="AL16" s="1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42"/>
      <c r="BH16" s="42">
        <v>35.1</v>
      </c>
      <c r="BI16" s="42"/>
      <c r="BJ16" s="42"/>
      <c r="BK16" s="44">
        <v>35.1</v>
      </c>
      <c r="BL16" s="44">
        <v>203.38119999999998</v>
      </c>
      <c r="BM16" s="44">
        <f>+BK16+BL16</f>
        <v>238.48119999999997</v>
      </c>
      <c r="BN16" s="47">
        <v>12.909157778595072</v>
      </c>
      <c r="BO16" s="47">
        <v>74.8</v>
      </c>
      <c r="BP16" s="45">
        <v>87.70915777859507</v>
      </c>
      <c r="BQ16" s="9">
        <v>2719</v>
      </c>
      <c r="BR16" s="4"/>
      <c r="BS16" s="4"/>
      <c r="BT16" s="4"/>
      <c r="BU16" s="4"/>
      <c r="BV16" s="4"/>
      <c r="BW16" s="4"/>
      <c r="BX16" s="4"/>
      <c r="BY16" s="9">
        <f>+INT(BK16*faktorji!$B$5)</f>
        <v>3334</v>
      </c>
      <c r="BZ16" s="9">
        <f>+INT(BL16*faktorji!$B$4)</f>
        <v>33557</v>
      </c>
      <c r="CA16" s="4"/>
      <c r="CB16" s="4">
        <v>0</v>
      </c>
      <c r="CC16" s="4">
        <v>0</v>
      </c>
      <c r="CD16" s="4">
        <v>0</v>
      </c>
      <c r="CE16" s="4">
        <v>0</v>
      </c>
      <c r="CF16" s="4">
        <v>1</v>
      </c>
      <c r="CG16" s="4">
        <v>1</v>
      </c>
      <c r="CH16" s="4">
        <v>1</v>
      </c>
      <c r="CI16" s="9">
        <f>+BQ16*(CB16*faktorji!$B$21+'MOL_tabela rezultatov'!CF149*faktorji!$B$23+'MOL_tabela rezultatov'!CH149*faktorji!$B$26)+faktorji!$B$27*CG16</f>
        <v>22078.5</v>
      </c>
      <c r="CJ16" s="9">
        <f>+(BZ16*CF16*faktorji!$B$18)+(CG16*faktorji!$B$17*('MOL_tabela rezultatov'!BY149+'MOL_tabela rezultatov'!BZ149))+('MOL_tabela rezultatov'!CH149*faktorji!$B$16*'MOL_tabela rezultatov'!BY149)+('MOL_tabela rezultatov'!CB149*faktorji!$B$12*'MOL_tabela rezultatov'!BY149)</f>
        <v>19831.45</v>
      </c>
      <c r="CK16" s="66">
        <f>+CI16/CJ16</f>
        <v>1.1133073980974664</v>
      </c>
      <c r="CL16" s="3" t="str">
        <f>CONCATENATE(IF(CB16&gt;0,"kotlovnica/toplotna postaja, ",""),IF(CF16&gt;0,"razsvetljava, ",""),IF(CG16&gt;0,"energetsko upravljanje, ",""),IF(CH16&gt;0,"manjši investicijski in organizacijski ukrepi, ",""))</f>
        <v xml:space="preserve">razsvetljava, energetsko upravljanje, manjši investicijski in organizacijski ukrepi, </v>
      </c>
      <c r="CM16" s="9">
        <f>+CJ16*0.9</f>
        <v>17848.305</v>
      </c>
      <c r="CN16" s="9">
        <f>+CJ16*0.9</f>
        <v>17848.305</v>
      </c>
      <c r="CO16" s="9">
        <f>+CJ16*0.9</f>
        <v>17848.305</v>
      </c>
      <c r="CP16" s="69">
        <f>+IF(CI16-SUM(CM16:CO16)&lt;0,0,CI16-SUM(CM16:CO16))</f>
        <v>0</v>
      </c>
      <c r="CQ16" s="9">
        <f>+(BQ16*CE16*faktorji!$B$24)+(BQ16^0.5*CC16*4*4*0.66*faktorji!$B$22)+(BQ16^0.5*CD16*4*4*0.33*faktorji!$B$25)</f>
        <v>0</v>
      </c>
      <c r="CR16" s="3" t="str">
        <f t="shared" si="1"/>
        <v/>
      </c>
      <c r="CS16" s="9">
        <f>+BQ16*('MOL_tabela rezultatov'!CH16*faktorji!$B$26)+faktorji!$B$27*CG16</f>
        <v>22078.5</v>
      </c>
      <c r="CT16" s="3" t="str">
        <f t="shared" si="0"/>
        <v xml:space="preserve">energetsko upravljanje, manjši investicijski in organizacijski ukrepi, </v>
      </c>
      <c r="CU16" s="9"/>
      <c r="CV16" s="9"/>
      <c r="CW16" s="9"/>
      <c r="CX16" s="69"/>
    </row>
    <row r="17" spans="1:102" s="10" customFormat="1" ht="18" hidden="1" customHeight="1">
      <c r="A17" s="54" t="s">
        <v>379</v>
      </c>
      <c r="B17" s="3" t="s">
        <v>380</v>
      </c>
      <c r="C17" s="56"/>
      <c r="D17" s="56"/>
      <c r="E17" s="51" t="s">
        <v>331</v>
      </c>
      <c r="F17" s="51" t="s">
        <v>1255</v>
      </c>
      <c r="G17" s="51">
        <v>3</v>
      </c>
      <c r="H17" s="51"/>
      <c r="I17" s="51"/>
      <c r="J17" s="51">
        <v>7</v>
      </c>
      <c r="K17" s="37" t="s">
        <v>1243</v>
      </c>
      <c r="L17" s="50"/>
      <c r="M17" s="4" t="s">
        <v>6</v>
      </c>
      <c r="N17" s="25"/>
      <c r="O17" s="25"/>
      <c r="P17" s="25"/>
      <c r="Q17" s="25"/>
      <c r="R17" s="25"/>
      <c r="S17" s="25">
        <v>415.52393473371484</v>
      </c>
      <c r="T17" s="25">
        <v>172.23020396515764</v>
      </c>
      <c r="U17" s="25">
        <v>172.23020396515764</v>
      </c>
      <c r="V17" s="30">
        <v>72.579099858894921</v>
      </c>
      <c r="W17" s="30">
        <v>175.10490296406019</v>
      </c>
      <c r="X17" s="31"/>
      <c r="Y17" s="31"/>
      <c r="Z17" s="31"/>
      <c r="AA17" s="31"/>
      <c r="AB17" s="31"/>
      <c r="AC17" s="31"/>
      <c r="AD17" s="31"/>
      <c r="AE17" s="32"/>
      <c r="AF17" s="1"/>
      <c r="AG17" s="4"/>
      <c r="AH17" s="4"/>
      <c r="AI17" s="6">
        <v>2373</v>
      </c>
      <c r="AJ17" s="38"/>
      <c r="AK17" s="3"/>
      <c r="AL17" s="1"/>
      <c r="AM17" s="37"/>
      <c r="AN17" s="37"/>
      <c r="AO17" s="37"/>
      <c r="AP17" s="37"/>
      <c r="AQ17" s="37"/>
      <c r="AR17" s="37"/>
      <c r="AS17" s="37">
        <f>(1778*9.5)/1000</f>
        <v>16.890999999999998</v>
      </c>
      <c r="AT17" s="37">
        <f>(1791*9.5)/1000</f>
        <v>17.014500000000002</v>
      </c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42"/>
      <c r="BH17" s="42">
        <v>16.952750000000002</v>
      </c>
      <c r="BI17" s="42"/>
      <c r="BJ17" s="42"/>
      <c r="BK17" s="44">
        <v>16.952750000000002</v>
      </c>
      <c r="BL17" s="44">
        <v>4.1900000000000004</v>
      </c>
      <c r="BM17" s="44">
        <f>+BK17+BL17</f>
        <v>21.142750000000003</v>
      </c>
      <c r="BN17" s="47">
        <v>132.443359375</v>
      </c>
      <c r="BO17" s="47">
        <v>32.734375</v>
      </c>
      <c r="BP17" s="45">
        <v>165.17773437500003</v>
      </c>
      <c r="BQ17" s="9">
        <v>128</v>
      </c>
      <c r="BR17" s="4">
        <v>24</v>
      </c>
      <c r="BS17" s="4">
        <v>2001</v>
      </c>
      <c r="BT17" s="4"/>
      <c r="BU17" s="4"/>
      <c r="BV17" s="4" t="s">
        <v>1159</v>
      </c>
      <c r="BW17" s="4" t="s">
        <v>980</v>
      </c>
      <c r="BX17" s="4"/>
      <c r="BY17" s="9">
        <f>+INT(BK17*faktorji!$B$5)</f>
        <v>1610</v>
      </c>
      <c r="BZ17" s="9">
        <f>+INT(BL17*faktorji!$B$4)</f>
        <v>691</v>
      </c>
      <c r="CA17" s="4"/>
      <c r="CB17" s="4">
        <v>0</v>
      </c>
      <c r="CC17" s="4">
        <v>0</v>
      </c>
      <c r="CD17" s="4">
        <v>0</v>
      </c>
      <c r="CE17" s="4">
        <v>0</v>
      </c>
      <c r="CF17" s="4">
        <v>1</v>
      </c>
      <c r="CG17" s="4">
        <v>1</v>
      </c>
      <c r="CH17" s="4">
        <v>1</v>
      </c>
      <c r="CI17" s="9">
        <f>+BQ17*(CB17*faktorji!$B$21+'MOL_tabela rezultatov'!CF150*faktorji!$B$23+'MOL_tabela rezultatov'!CH150*faktorji!$B$26)+faktorji!$B$27*CG17</f>
        <v>20112</v>
      </c>
      <c r="CJ17" s="9">
        <f>+(BZ17*CF17*faktorji!$B$18)+(CG17*faktorji!$B$17*('MOL_tabela rezultatov'!BY150+'MOL_tabela rezultatov'!BZ150))+('MOL_tabela rezultatov'!CH150*faktorji!$B$16*'MOL_tabela rezultatov'!BY150)+('MOL_tabela rezultatov'!CB150*faktorji!$B$12*'MOL_tabela rezultatov'!BY150)</f>
        <v>1761.3500000000004</v>
      </c>
      <c r="CK17" s="66">
        <f>+CI17/CJ17</f>
        <v>11.418514207851929</v>
      </c>
      <c r="CL17" s="3" t="str">
        <f>CONCATENATE(IF(CB17&gt;0,"kotlovnica/toplotna postaja, ",""),IF(CF17&gt;0,"razsvetljava, ",""),IF(CG17&gt;0,"energetsko upravljanje, ",""),IF(CH17&gt;0,"manjši investicijski in organizacijski ukrepi, ",""))</f>
        <v xml:space="preserve">razsvetljava, energetsko upravljanje, manjši investicijski in organizacijski ukrepi, </v>
      </c>
      <c r="CM17" s="9">
        <f>+CJ17*0.9</f>
        <v>1585.2150000000004</v>
      </c>
      <c r="CN17" s="9">
        <f>+CJ17*0.9</f>
        <v>1585.2150000000004</v>
      </c>
      <c r="CO17" s="9">
        <f>+CJ17*0.9</f>
        <v>1585.2150000000004</v>
      </c>
      <c r="CP17" s="69">
        <f>+IF(CI17-SUM(CM17:CO17)&lt;0,0,CI17-SUM(CM17:CO17))</f>
        <v>15356.355</v>
      </c>
      <c r="CQ17" s="9">
        <f>+(BQ17*CE17*faktorji!$B$24)+(BQ17^0.5*CC17*4*4*0.66*faktorji!$B$22)+(BQ17^0.5*CD17*4*4*0.33*faktorji!$B$25)</f>
        <v>0</v>
      </c>
      <c r="CR17" s="3" t="str">
        <f t="shared" si="1"/>
        <v/>
      </c>
      <c r="CS17" s="9">
        <f>+BQ17*('MOL_tabela rezultatov'!CH17*faktorji!$B$26)+faktorji!$B$27*CG17</f>
        <v>18192</v>
      </c>
      <c r="CT17" s="3" t="str">
        <f t="shared" si="0"/>
        <v xml:space="preserve">energetsko upravljanje, manjši investicijski in organizacijski ukrepi, </v>
      </c>
      <c r="CU17" s="9"/>
      <c r="CV17" s="9"/>
      <c r="CW17" s="9"/>
      <c r="CX17" s="69"/>
    </row>
    <row r="18" spans="1:102" s="10" customFormat="1" ht="18" hidden="1" customHeight="1">
      <c r="A18" s="54" t="s">
        <v>386</v>
      </c>
      <c r="B18" s="3" t="s">
        <v>387</v>
      </c>
      <c r="C18" s="56"/>
      <c r="D18" s="56"/>
      <c r="E18" s="51" t="s">
        <v>331</v>
      </c>
      <c r="F18" s="51" t="s">
        <v>1255</v>
      </c>
      <c r="G18" s="51">
        <v>3</v>
      </c>
      <c r="H18" s="51"/>
      <c r="I18" s="51"/>
      <c r="J18" s="51">
        <v>7</v>
      </c>
      <c r="K18" s="37" t="s">
        <v>1243</v>
      </c>
      <c r="L18" s="50"/>
      <c r="M18" s="4" t="s">
        <v>1229</v>
      </c>
      <c r="N18" s="25"/>
      <c r="O18" s="25"/>
      <c r="P18" s="25"/>
      <c r="Q18" s="25"/>
      <c r="R18" s="25"/>
      <c r="S18" s="25">
        <v>415.52393473371484</v>
      </c>
      <c r="T18" s="25">
        <v>172.23020396515764</v>
      </c>
      <c r="U18" s="25">
        <v>172.23020396515764</v>
      </c>
      <c r="V18" s="30">
        <v>72.579099858894921</v>
      </c>
      <c r="W18" s="30">
        <v>175.10490296406019</v>
      </c>
      <c r="X18" s="31"/>
      <c r="Y18" s="31"/>
      <c r="Z18" s="31"/>
      <c r="AA18" s="31"/>
      <c r="AB18" s="31"/>
      <c r="AC18" s="31"/>
      <c r="AD18" s="31"/>
      <c r="AE18" s="32"/>
      <c r="AF18" s="1"/>
      <c r="AG18" s="4"/>
      <c r="AH18" s="4"/>
      <c r="AI18" s="6">
        <v>2373</v>
      </c>
      <c r="AJ18" s="38"/>
      <c r="AK18" s="3"/>
      <c r="AL18" s="1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>
        <v>5.78</v>
      </c>
      <c r="BD18" s="37">
        <v>5.0999999999999996</v>
      </c>
      <c r="BE18" s="37">
        <v>5.2</v>
      </c>
      <c r="BF18" s="37">
        <v>4.4000000000000004</v>
      </c>
      <c r="BG18" s="42"/>
      <c r="BH18" s="42"/>
      <c r="BI18" s="42"/>
      <c r="BJ18" s="42"/>
      <c r="BK18" s="44"/>
      <c r="BL18" s="44">
        <v>5.1199999999999992</v>
      </c>
      <c r="BM18" s="44">
        <f>+BK18+BL18</f>
        <v>5.1199999999999992</v>
      </c>
      <c r="BN18" s="47"/>
      <c r="BO18" s="47"/>
      <c r="BP18" s="45"/>
      <c r="BQ18" s="8"/>
      <c r="BR18" s="4"/>
      <c r="BS18" s="4"/>
      <c r="BT18" s="4"/>
      <c r="BU18" s="4"/>
      <c r="BV18" s="4"/>
      <c r="BW18" s="4"/>
      <c r="BX18" s="4" t="s">
        <v>858</v>
      </c>
      <c r="BY18" s="9">
        <v>0</v>
      </c>
      <c r="BZ18" s="9">
        <f>+INT(BL18*faktorji!$B$4)</f>
        <v>844</v>
      </c>
      <c r="CA18" s="4"/>
      <c r="CB18" s="4">
        <v>0</v>
      </c>
      <c r="CC18" s="4">
        <v>0</v>
      </c>
      <c r="CD18" s="4">
        <v>0</v>
      </c>
      <c r="CE18" s="4">
        <v>0</v>
      </c>
      <c r="CF18" s="4">
        <v>0</v>
      </c>
      <c r="CG18" s="4">
        <v>1</v>
      </c>
      <c r="CH18" s="4">
        <v>1</v>
      </c>
      <c r="CI18" s="9">
        <f>+BQ18*(CB18*faktorji!$B$21+'MOL_tabela rezultatov'!CF153*faktorji!$B$23+'MOL_tabela rezultatov'!CH153*faktorji!$B$26)+faktorji!$B$27*CG18</f>
        <v>18000</v>
      </c>
      <c r="CJ18" s="9">
        <f>+(BZ18*CF18*faktorji!$B$18)+(CG18*faktorji!$B$17*('MOL_tabela rezultatov'!BY153+'MOL_tabela rezultatov'!BZ153))+('MOL_tabela rezultatov'!CH153*faktorji!$B$16*'MOL_tabela rezultatov'!BY153)+('MOL_tabela rezultatov'!CB153*faktorji!$B$12*'MOL_tabela rezultatov'!BY153)</f>
        <v>1223.4000000000001</v>
      </c>
      <c r="CK18" s="66">
        <f>+CI18/CJ18</f>
        <v>14.713094654242274</v>
      </c>
      <c r="CL18" s="3" t="str">
        <f>CONCATENATE(IF(CB18&gt;0,"kotlovnica/toplotna postaja, ",""),IF(CF18&gt;0,"razsvetljava, ",""),IF(CG18&gt;0,"energetsko upravljanje, ",""),IF(CH18&gt;0,"manjši investicijski in organizacijski ukrepi, ",""))</f>
        <v xml:space="preserve">energetsko upravljanje, manjši investicijski in organizacijski ukrepi, </v>
      </c>
      <c r="CM18" s="9">
        <f>+CJ18*0.9</f>
        <v>1101.0600000000002</v>
      </c>
      <c r="CN18" s="9">
        <f>+CJ18*0.9</f>
        <v>1101.0600000000002</v>
      </c>
      <c r="CO18" s="9">
        <f>+CJ18*0.9</f>
        <v>1101.0600000000002</v>
      </c>
      <c r="CP18" s="69">
        <f>+IF(CI18-SUM(CM18:CO18)&lt;0,0,CI18-SUM(CM18:CO18))</f>
        <v>14696.82</v>
      </c>
      <c r="CQ18" s="9">
        <f>+(BQ18*CE18*faktorji!$B$24)+(BQ18^0.5*CC18*4*4*0.66*faktorji!$B$22)+(BQ18^0.5*CD18*4*4*0.33*faktorji!$B$25)</f>
        <v>0</v>
      </c>
      <c r="CR18" s="3" t="str">
        <f t="shared" si="1"/>
        <v/>
      </c>
      <c r="CS18" s="9">
        <f>+BQ18*('MOL_tabela rezultatov'!CH18*faktorji!$B$26)+faktorji!$B$27*CG18</f>
        <v>18000</v>
      </c>
      <c r="CT18" s="3" t="str">
        <f t="shared" si="0"/>
        <v xml:space="preserve">energetsko upravljanje, manjši investicijski in organizacijski ukrepi, </v>
      </c>
      <c r="CU18" s="9"/>
      <c r="CV18" s="9"/>
      <c r="CW18" s="9"/>
      <c r="CX18" s="69"/>
    </row>
    <row r="19" spans="1:102" s="10" customFormat="1" ht="18" customHeight="1">
      <c r="A19" s="118" t="s">
        <v>147</v>
      </c>
      <c r="B19" s="147" t="s">
        <v>148</v>
      </c>
      <c r="C19" s="56"/>
      <c r="D19" s="56"/>
      <c r="E19" s="51" t="s">
        <v>1169</v>
      </c>
      <c r="F19" s="51"/>
      <c r="G19" s="51">
        <v>4</v>
      </c>
      <c r="H19" s="51"/>
      <c r="I19" s="51"/>
      <c r="J19" s="51">
        <v>7</v>
      </c>
      <c r="K19" s="37" t="s">
        <v>1242</v>
      </c>
      <c r="L19" s="50"/>
      <c r="M19" s="4" t="s">
        <v>5</v>
      </c>
      <c r="N19" s="25">
        <v>10.461236842105263</v>
      </c>
      <c r="O19" s="25"/>
      <c r="P19" s="25"/>
      <c r="Q19" s="25"/>
      <c r="R19" s="25"/>
      <c r="S19" s="25"/>
      <c r="T19" s="25">
        <v>4.125236842105263</v>
      </c>
      <c r="U19" s="25">
        <v>14.586473684210526</v>
      </c>
      <c r="V19" s="30">
        <v>45.835964912280701</v>
      </c>
      <c r="W19" s="30">
        <v>116.23596491228071</v>
      </c>
      <c r="X19" s="31"/>
      <c r="Y19" s="31"/>
      <c r="Z19" s="31"/>
      <c r="AA19" s="31"/>
      <c r="AB19" s="31"/>
      <c r="AC19" s="31"/>
      <c r="AD19" s="31"/>
      <c r="AE19" s="32"/>
      <c r="AF19" s="1"/>
      <c r="AG19" s="4"/>
      <c r="AH19" s="4"/>
      <c r="AI19" s="6">
        <v>90</v>
      </c>
      <c r="AJ19" s="38"/>
      <c r="AK19" s="34"/>
      <c r="AL19" s="1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42">
        <v>9.23</v>
      </c>
      <c r="BH19" s="42"/>
      <c r="BI19" s="42"/>
      <c r="BJ19" s="42"/>
      <c r="BK19" s="44">
        <v>9.23</v>
      </c>
      <c r="BL19" s="44">
        <v>7.8775999999999993</v>
      </c>
      <c r="BM19" s="44">
        <f>+BK19+BL19</f>
        <v>17.107599999999998</v>
      </c>
      <c r="BN19" s="47">
        <v>107.32558139534883</v>
      </c>
      <c r="BO19" s="47">
        <v>91.6</v>
      </c>
      <c r="BP19" s="45">
        <v>198.92558139534881</v>
      </c>
      <c r="BQ19" s="9">
        <v>86</v>
      </c>
      <c r="BR19" s="4"/>
      <c r="BS19" s="4"/>
      <c r="BT19" s="4" t="s">
        <v>872</v>
      </c>
      <c r="BU19" s="4"/>
      <c r="BV19" s="4"/>
      <c r="BW19" s="4"/>
      <c r="BX19" s="4"/>
      <c r="BY19" s="9">
        <f>+INT(BK19*faktorji!$B$3)</f>
        <v>599</v>
      </c>
      <c r="BZ19" s="9">
        <f>+INT(BL19*faktorji!$B$4)</f>
        <v>1299</v>
      </c>
      <c r="CA19" s="4"/>
      <c r="CB19" s="4">
        <v>0</v>
      </c>
      <c r="CC19" s="4">
        <v>0</v>
      </c>
      <c r="CD19" s="4">
        <v>0</v>
      </c>
      <c r="CE19" s="4">
        <v>0</v>
      </c>
      <c r="CF19" s="4">
        <v>1</v>
      </c>
      <c r="CG19" s="4">
        <v>1</v>
      </c>
      <c r="CH19" s="4">
        <v>1</v>
      </c>
      <c r="CI19" s="9">
        <f>+BQ19*(CB19*faktorji!$B$21+'MOL_tabela rezultatov'!CF51*faktorji!$B$23+'MOL_tabela rezultatov'!CH51*faktorji!$B$26)+faktorji!$B$27*CG19</f>
        <v>19419</v>
      </c>
      <c r="CJ19" s="9">
        <f>+(BZ19*CF19*faktorji!$B$18)+(CG19*faktorji!$B$17*('MOL_tabela rezultatov'!BY51+'MOL_tabela rezultatov'!BZ51))+('MOL_tabela rezultatov'!CH51*faktorji!$B$16*'MOL_tabela rezultatov'!BY51)+('MOL_tabela rezultatov'!CB51*faktorji!$B$12*'MOL_tabela rezultatov'!BY51)</f>
        <v>194.85</v>
      </c>
      <c r="CK19" s="66">
        <f>+CI19/CJ19</f>
        <v>99.661277906081608</v>
      </c>
      <c r="CL19" s="3" t="str">
        <f>CONCATENATE(IF(CB19&gt;0,"kotlovnica/toplotna postaja, ",""),IF(CF19&gt;0,"razsvetljava, ",""),IF(CG19&gt;0,"energetsko upravljanje, ",""),IF(CH19&gt;0,"manjši investicijski in organizacijski ukrepi, ",""))</f>
        <v xml:space="preserve">razsvetljava, energetsko upravljanje, manjši investicijski in organizacijski ukrepi, </v>
      </c>
      <c r="CM19" s="9">
        <f>+CJ19*0.9</f>
        <v>175.36500000000001</v>
      </c>
      <c r="CN19" s="9">
        <f>+CJ19*0.9</f>
        <v>175.36500000000001</v>
      </c>
      <c r="CO19" s="9">
        <f>+CJ19*0.9</f>
        <v>175.36500000000001</v>
      </c>
      <c r="CP19" s="69">
        <f>+IF(CI19-SUM(CM19:CO19)&lt;0,0,CI19-SUM(CM19:CO19))</f>
        <v>18892.904999999999</v>
      </c>
      <c r="CQ19" s="9">
        <f>+(BQ19*CE19*faktorji!$B$24)+(BQ19^0.5*CC19*4*4*0.66*faktorji!$B$22)+(BQ19^0.5*CD19*4*4*0.33*faktorji!$B$25)</f>
        <v>0</v>
      </c>
      <c r="CR19" s="3" t="str">
        <f t="shared" si="1"/>
        <v/>
      </c>
      <c r="CS19" s="9">
        <f>+BQ19*('MOL_tabela rezultatov'!CH19*faktorji!$B$26)+faktorji!$B$27*CG19</f>
        <v>18129</v>
      </c>
      <c r="CT19" s="3" t="str">
        <f t="shared" si="0"/>
        <v xml:space="preserve">energetsko upravljanje, manjši investicijski in organizacijski ukrepi, </v>
      </c>
      <c r="CU19" s="9"/>
      <c r="CV19" s="9"/>
      <c r="CW19" s="9"/>
      <c r="CX19" s="69"/>
    </row>
    <row r="20" spans="1:102" s="10" customFormat="1" ht="18" hidden="1" customHeight="1">
      <c r="A20" s="54" t="s">
        <v>374</v>
      </c>
      <c r="B20" s="3" t="s">
        <v>375</v>
      </c>
      <c r="C20" s="56"/>
      <c r="D20" s="56"/>
      <c r="E20" s="51" t="s">
        <v>331</v>
      </c>
      <c r="F20" s="51"/>
      <c r="G20" s="51">
        <v>3</v>
      </c>
      <c r="H20" s="51"/>
      <c r="I20" s="51"/>
      <c r="J20" s="51">
        <v>7</v>
      </c>
      <c r="K20" s="37" t="s">
        <v>1244</v>
      </c>
      <c r="L20" s="50"/>
      <c r="M20" s="4" t="s">
        <v>6</v>
      </c>
      <c r="N20" s="25"/>
      <c r="O20" s="25">
        <v>83.26</v>
      </c>
      <c r="P20" s="25"/>
      <c r="Q20" s="25"/>
      <c r="R20" s="25"/>
      <c r="S20" s="25"/>
      <c r="T20" s="25">
        <v>15.91</v>
      </c>
      <c r="U20" s="25">
        <v>99.17</v>
      </c>
      <c r="V20" s="30">
        <v>26.254125412541253</v>
      </c>
      <c r="W20" s="30">
        <v>137.39273927392739</v>
      </c>
      <c r="X20" s="31"/>
      <c r="Y20" s="31"/>
      <c r="Z20" s="31"/>
      <c r="AA20" s="31"/>
      <c r="AB20" s="31"/>
      <c r="AC20" s="31"/>
      <c r="AD20" s="31"/>
      <c r="AE20" s="32"/>
      <c r="AF20" s="1"/>
      <c r="AG20" s="4"/>
      <c r="AH20" s="4" t="s">
        <v>376</v>
      </c>
      <c r="AI20" s="6">
        <v>606</v>
      </c>
      <c r="AJ20" s="38">
        <v>22.3</v>
      </c>
      <c r="AK20" s="3"/>
      <c r="AL20" s="1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42"/>
      <c r="BH20" s="42">
        <v>81.25</v>
      </c>
      <c r="BI20" s="42"/>
      <c r="BJ20" s="42"/>
      <c r="BK20" s="44">
        <v>81.25</v>
      </c>
      <c r="BL20" s="44">
        <v>15.91</v>
      </c>
      <c r="BM20" s="44">
        <f>+BK20+BL20</f>
        <v>97.16</v>
      </c>
      <c r="BN20" s="47">
        <v>134.07590759075907</v>
      </c>
      <c r="BO20" s="47">
        <v>26.254125412541253</v>
      </c>
      <c r="BP20" s="45">
        <v>160.33003300330034</v>
      </c>
      <c r="BQ20" s="9">
        <v>606</v>
      </c>
      <c r="BR20" s="4"/>
      <c r="BS20" s="4"/>
      <c r="BT20" s="4"/>
      <c r="BU20" s="4"/>
      <c r="BV20" s="4"/>
      <c r="BW20" s="4"/>
      <c r="BX20" s="4"/>
      <c r="BY20" s="9">
        <f>+INT(BK20*faktorji!$B$5)</f>
        <v>7718</v>
      </c>
      <c r="BZ20" s="9">
        <f>+INT(BL20*faktorji!$B$4)</f>
        <v>2625</v>
      </c>
      <c r="CA20" s="4"/>
      <c r="CB20" s="4">
        <v>0</v>
      </c>
      <c r="CC20" s="4">
        <v>0</v>
      </c>
      <c r="CD20" s="4">
        <v>0</v>
      </c>
      <c r="CE20" s="4">
        <v>0</v>
      </c>
      <c r="CF20" s="4">
        <v>1</v>
      </c>
      <c r="CG20" s="4">
        <v>1</v>
      </c>
      <c r="CH20" s="4">
        <v>1</v>
      </c>
      <c r="CI20" s="9">
        <f>+BQ20*(CB20*faktorji!$B$21+'MOL_tabela rezultatov'!CF148*faktorji!$B$23+'MOL_tabela rezultatov'!CH148*faktorji!$B$26)+faktorji!$B$27*CG20</f>
        <v>18909</v>
      </c>
      <c r="CJ20" s="9">
        <f>+(BZ20*CF20*faktorji!$B$18)+(CG20*faktorji!$B$17*('MOL_tabela rezultatov'!BY148+'MOL_tabela rezultatov'!BZ148))+('MOL_tabela rezultatov'!CH148*faktorji!$B$16*'MOL_tabela rezultatov'!BY148)+('MOL_tabela rezultatov'!CB148*faktorji!$B$12*'MOL_tabela rezultatov'!BY148)</f>
        <v>2177.0500000000002</v>
      </c>
      <c r="CK20" s="66">
        <f>+CI20/CJ20</f>
        <v>8.685606669575801</v>
      </c>
      <c r="CL20" s="3" t="str">
        <f>CONCATENATE(IF(CB20&gt;0,"kotlovnica/toplotna postaja, ",""),IF(CF20&gt;0,"razsvetljava, ",""),IF(CG20&gt;0,"energetsko upravljanje, ",""),IF(CH20&gt;0,"manjši investicijski in organizacijski ukrepi, ",""))</f>
        <v xml:space="preserve">razsvetljava, energetsko upravljanje, manjši investicijski in organizacijski ukrepi, </v>
      </c>
      <c r="CM20" s="9">
        <f>+CJ20*0.9</f>
        <v>1959.3450000000003</v>
      </c>
      <c r="CN20" s="9">
        <f>+CJ20*0.9</f>
        <v>1959.3450000000003</v>
      </c>
      <c r="CO20" s="9">
        <f>+CJ20*0.9</f>
        <v>1959.3450000000003</v>
      </c>
      <c r="CP20" s="69">
        <f>+IF(CI20-SUM(CM20:CO20)&lt;0,0,CI20-SUM(CM20:CO20))</f>
        <v>13030.965</v>
      </c>
      <c r="CQ20" s="9">
        <f>+(BQ20*CE20*faktorji!$B$24)+(BQ20^0.5*CC20*4*4*0.66*faktorji!$B$22)+(BQ20^0.5*CD20*4*4*0.33*faktorji!$B$25)</f>
        <v>0</v>
      </c>
      <c r="CR20" s="3" t="str">
        <f t="shared" si="1"/>
        <v/>
      </c>
      <c r="CS20" s="9">
        <f>+BQ20*('MOL_tabela rezultatov'!CH20*faktorji!$B$26)+faktorji!$B$27*CG20</f>
        <v>18909</v>
      </c>
      <c r="CT20" s="3" t="str">
        <f t="shared" si="0"/>
        <v xml:space="preserve">energetsko upravljanje, manjši investicijski in organizacijski ukrepi, </v>
      </c>
      <c r="CU20" s="9"/>
      <c r="CV20" s="9"/>
      <c r="CW20" s="9"/>
      <c r="CX20" s="69"/>
    </row>
    <row r="21" spans="1:102" s="10" customFormat="1" ht="18" hidden="1" customHeight="1">
      <c r="A21" s="53" t="s">
        <v>397</v>
      </c>
      <c r="B21" s="2" t="s">
        <v>398</v>
      </c>
      <c r="C21" s="57"/>
      <c r="D21" s="57"/>
      <c r="E21" s="51" t="s">
        <v>331</v>
      </c>
      <c r="F21" s="51"/>
      <c r="G21" s="51">
        <v>3</v>
      </c>
      <c r="H21" s="51"/>
      <c r="I21" s="51"/>
      <c r="J21" s="51">
        <v>7</v>
      </c>
      <c r="K21" s="37" t="s">
        <v>1244</v>
      </c>
      <c r="L21" s="50"/>
      <c r="M21" s="4" t="s">
        <v>6</v>
      </c>
      <c r="N21" s="25"/>
      <c r="O21" s="25">
        <v>47.5</v>
      </c>
      <c r="P21" s="25"/>
      <c r="Q21" s="25"/>
      <c r="R21" s="25"/>
      <c r="S21" s="25"/>
      <c r="T21" s="25">
        <v>18.02</v>
      </c>
      <c r="U21" s="25">
        <v>65.52</v>
      </c>
      <c r="V21" s="30">
        <v>31.614035087719294</v>
      </c>
      <c r="W21" s="30">
        <v>83.333333333333329</v>
      </c>
      <c r="X21" s="31"/>
      <c r="Y21" s="31">
        <v>52.25</v>
      </c>
      <c r="Z21" s="31"/>
      <c r="AA21" s="31"/>
      <c r="AB21" s="31"/>
      <c r="AC21" s="31"/>
      <c r="AD21" s="31"/>
      <c r="AE21" s="32">
        <v>91.666666666666671</v>
      </c>
      <c r="AF21" s="1" t="s">
        <v>399</v>
      </c>
      <c r="AG21" s="1" t="s">
        <v>400</v>
      </c>
      <c r="AH21" s="4" t="s">
        <v>401</v>
      </c>
      <c r="AI21" s="6">
        <v>570</v>
      </c>
      <c r="AJ21" s="38">
        <v>100</v>
      </c>
      <c r="AK21" s="3"/>
      <c r="AL21" s="1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42"/>
      <c r="BH21" s="42">
        <v>64.8</v>
      </c>
      <c r="BI21" s="42"/>
      <c r="BJ21" s="42"/>
      <c r="BK21" s="44">
        <v>64.8</v>
      </c>
      <c r="BL21" s="44">
        <v>18.02</v>
      </c>
      <c r="BM21" s="44">
        <f>+BK21+BL21</f>
        <v>82.82</v>
      </c>
      <c r="BN21" s="47">
        <v>113.68421052631579</v>
      </c>
      <c r="BO21" s="47">
        <v>31.614035087719298</v>
      </c>
      <c r="BP21" s="45">
        <v>145.2982456140351</v>
      </c>
      <c r="BQ21" s="9">
        <v>570</v>
      </c>
      <c r="BR21" s="4"/>
      <c r="BS21" s="4"/>
      <c r="BT21" s="4"/>
      <c r="BU21" s="4"/>
      <c r="BV21" s="4"/>
      <c r="BW21" s="4"/>
      <c r="BX21" s="4"/>
      <c r="BY21" s="9">
        <f>+INT(BK21*faktorji!$B$5)</f>
        <v>6156</v>
      </c>
      <c r="BZ21" s="9">
        <f>+INT(BL21*faktorji!$B$4)</f>
        <v>2973</v>
      </c>
      <c r="CA21" s="4"/>
      <c r="CB21" s="4">
        <v>0</v>
      </c>
      <c r="CC21" s="4">
        <v>0</v>
      </c>
      <c r="CD21" s="4">
        <v>0</v>
      </c>
      <c r="CE21" s="4">
        <v>0</v>
      </c>
      <c r="CF21" s="4">
        <v>0</v>
      </c>
      <c r="CG21" s="4">
        <v>1</v>
      </c>
      <c r="CH21" s="4">
        <v>1</v>
      </c>
      <c r="CI21" s="9">
        <f>+BQ21*(CB21*faktorji!$B$21+'MOL_tabela rezultatov'!CF158*faktorji!$B$23+'MOL_tabela rezultatov'!CH158*faktorji!$B$26)+faktorji!$B$27*CG21</f>
        <v>27405</v>
      </c>
      <c r="CJ21" s="9">
        <f>+(BZ21*CF21*faktorji!$B$18)+(CG21*faktorji!$B$17*('MOL_tabela rezultatov'!BY158+'MOL_tabela rezultatov'!BZ158))+('MOL_tabela rezultatov'!CH158*faktorji!$B$16*'MOL_tabela rezultatov'!BY158)+('MOL_tabela rezultatov'!CB158*faktorji!$B$12*'MOL_tabela rezultatov'!BY158)</f>
        <v>6526.7000000000007</v>
      </c>
      <c r="CK21" s="66">
        <f>+CI21/CJ21</f>
        <v>4.1989060321448815</v>
      </c>
      <c r="CL21" s="3" t="str">
        <f>CONCATENATE(IF(CB21&gt;0,"kotlovnica/toplotna postaja, ",""),IF(CF21&gt;0,"razsvetljava, ",""),IF(CG21&gt;0,"energetsko upravljanje, ",""),IF(CH21&gt;0,"manjši investicijski in organizacijski ukrepi, ",""))</f>
        <v xml:space="preserve">energetsko upravljanje, manjši investicijski in organizacijski ukrepi, </v>
      </c>
      <c r="CM21" s="9">
        <f>+CJ21*0.9</f>
        <v>5874.0300000000007</v>
      </c>
      <c r="CN21" s="9">
        <f>+CJ21*0.9</f>
        <v>5874.0300000000007</v>
      </c>
      <c r="CO21" s="9">
        <f>+CJ21*0.9</f>
        <v>5874.0300000000007</v>
      </c>
      <c r="CP21" s="69">
        <f>+IF(CI21-SUM(CM21:CO21)&lt;0,0,CI21-SUM(CM21:CO21))</f>
        <v>9782.9099999999962</v>
      </c>
      <c r="CQ21" s="9">
        <f>+(BQ21*CE21*faktorji!$B$24)+(BQ21^0.5*CC21*4*4*0.66*faktorji!$B$22)+(BQ21^0.5*CD21*4*4*0.33*faktorji!$B$25)</f>
        <v>0</v>
      </c>
      <c r="CR21" s="3" t="str">
        <f t="shared" si="1"/>
        <v/>
      </c>
      <c r="CS21" s="9">
        <f>+BQ21*('MOL_tabela rezultatov'!CH21*faktorji!$B$26)+faktorji!$B$27*CG21</f>
        <v>18855</v>
      </c>
      <c r="CT21" s="3" t="str">
        <f t="shared" si="0"/>
        <v xml:space="preserve">energetsko upravljanje, manjši investicijski in organizacijski ukrepi, </v>
      </c>
      <c r="CU21" s="9"/>
      <c r="CV21" s="9"/>
      <c r="CW21" s="9"/>
      <c r="CX21" s="69"/>
    </row>
    <row r="22" spans="1:102" s="10" customFormat="1" ht="18" hidden="1" customHeight="1">
      <c r="A22" s="54" t="s">
        <v>384</v>
      </c>
      <c r="B22" s="3" t="s">
        <v>385</v>
      </c>
      <c r="C22" s="56"/>
      <c r="D22" s="56"/>
      <c r="E22" s="51" t="s">
        <v>331</v>
      </c>
      <c r="F22" s="51" t="s">
        <v>1255</v>
      </c>
      <c r="G22" s="51">
        <v>3</v>
      </c>
      <c r="H22" s="51"/>
      <c r="I22" s="51"/>
      <c r="J22" s="51">
        <v>7</v>
      </c>
      <c r="K22" s="37" t="s">
        <v>1242</v>
      </c>
      <c r="L22" s="50"/>
      <c r="M22" s="4" t="s">
        <v>1229</v>
      </c>
      <c r="N22" s="25"/>
      <c r="O22" s="25"/>
      <c r="P22" s="25"/>
      <c r="Q22" s="25"/>
      <c r="R22" s="25"/>
      <c r="S22" s="25"/>
      <c r="T22" s="25"/>
      <c r="U22" s="25"/>
      <c r="V22" s="30"/>
      <c r="W22" s="30"/>
      <c r="X22" s="31"/>
      <c r="Y22" s="31"/>
      <c r="Z22" s="31"/>
      <c r="AA22" s="31"/>
      <c r="AB22" s="31"/>
      <c r="AC22" s="31"/>
      <c r="AD22" s="31"/>
      <c r="AE22" s="32"/>
      <c r="AF22" s="1"/>
      <c r="AG22" s="4"/>
      <c r="AH22" s="4"/>
      <c r="AI22" s="6"/>
      <c r="AJ22" s="38"/>
      <c r="AK22" s="3"/>
      <c r="AL22" s="1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42"/>
      <c r="BH22" s="42"/>
      <c r="BI22" s="42"/>
      <c r="BJ22" s="42"/>
      <c r="BK22" s="44"/>
      <c r="BL22" s="44"/>
      <c r="BM22" s="44">
        <f>+BK22+BL22</f>
        <v>0</v>
      </c>
      <c r="BN22" s="47"/>
      <c r="BO22" s="47"/>
      <c r="BP22" s="45"/>
      <c r="BQ22" s="9"/>
      <c r="BR22" s="4"/>
      <c r="BS22" s="4"/>
      <c r="BT22" s="4"/>
      <c r="BU22" s="4"/>
      <c r="BV22" s="4"/>
      <c r="BW22" s="4"/>
      <c r="BX22" s="4" t="s">
        <v>858</v>
      </c>
      <c r="BY22" s="9">
        <v>0</v>
      </c>
      <c r="BZ22" s="9">
        <f>+INT(BL22*faktorji!$B$4)</f>
        <v>0</v>
      </c>
      <c r="CA22" s="4"/>
      <c r="CB22" s="4">
        <v>0</v>
      </c>
      <c r="CC22" s="4">
        <v>0</v>
      </c>
      <c r="CD22" s="4">
        <v>0</v>
      </c>
      <c r="CE22" s="4">
        <v>0</v>
      </c>
      <c r="CF22" s="4">
        <v>0</v>
      </c>
      <c r="CG22" s="4">
        <v>1</v>
      </c>
      <c r="CH22" s="4">
        <v>1</v>
      </c>
      <c r="CI22" s="9">
        <f>+BQ22*(CB22*faktorji!$B$21+'MOL_tabela rezultatov'!CF152*faktorji!$B$23+'MOL_tabela rezultatov'!CH152*faktorji!$B$26)+faktorji!$B$27*CG22</f>
        <v>18000</v>
      </c>
      <c r="CJ22" s="9">
        <f>+(BZ22*CF22*faktorji!$B$18)+(CG22*faktorji!$B$17*('MOL_tabela rezultatov'!BY152+'MOL_tabela rezultatov'!BZ152))+('MOL_tabela rezultatov'!CH152*faktorji!$B$16*'MOL_tabela rezultatov'!BY152)+('MOL_tabela rezultatov'!CB152*faktorji!$B$12*'MOL_tabela rezultatov'!BY152)</f>
        <v>2917.1000000000004</v>
      </c>
      <c r="CK22" s="66">
        <f>+CI22/CJ22</f>
        <v>6.1705118096739904</v>
      </c>
      <c r="CL22" s="3" t="str">
        <f>CONCATENATE(IF(CB22&gt;0,"kotlovnica/toplotna postaja, ",""),IF(CF22&gt;0,"razsvetljava, ",""),IF(CG22&gt;0,"energetsko upravljanje, ",""),IF(CH22&gt;0,"manjši investicijski in organizacijski ukrepi, ",""))</f>
        <v xml:space="preserve">energetsko upravljanje, manjši investicijski in organizacijski ukrepi, </v>
      </c>
      <c r="CM22" s="9">
        <f>+CJ22*0.9</f>
        <v>2625.3900000000003</v>
      </c>
      <c r="CN22" s="9">
        <f>+CJ22*0.9</f>
        <v>2625.3900000000003</v>
      </c>
      <c r="CO22" s="9">
        <f>+CJ22*0.9</f>
        <v>2625.3900000000003</v>
      </c>
      <c r="CP22" s="69">
        <f>+IF(CI22-SUM(CM22:CO22)&lt;0,0,CI22-SUM(CM22:CO22))</f>
        <v>10123.829999999998</v>
      </c>
      <c r="CQ22" s="9">
        <f>+(BQ22*CE22*faktorji!$B$24)+(BQ22^0.5*CC22*4*4*0.66*faktorji!$B$22)+(BQ22^0.5*CD22*4*4*0.33*faktorji!$B$25)</f>
        <v>0</v>
      </c>
      <c r="CR22" s="3" t="str">
        <f t="shared" si="1"/>
        <v/>
      </c>
      <c r="CS22" s="9">
        <f>+BQ22*('MOL_tabela rezultatov'!CH22*faktorji!$B$26)+faktorji!$B$27*CG22</f>
        <v>18000</v>
      </c>
      <c r="CT22" s="3" t="str">
        <f t="shared" si="0"/>
        <v xml:space="preserve">energetsko upravljanje, manjši investicijski in organizacijski ukrepi, </v>
      </c>
      <c r="CU22" s="9"/>
      <c r="CV22" s="9"/>
      <c r="CW22" s="9"/>
      <c r="CX22" s="69"/>
    </row>
    <row r="23" spans="1:102" s="10" customFormat="1" ht="18" hidden="1" customHeight="1">
      <c r="A23" s="53" t="s">
        <v>372</v>
      </c>
      <c r="B23" s="2" t="s">
        <v>373</v>
      </c>
      <c r="C23" s="57"/>
      <c r="D23" s="57"/>
      <c r="E23" s="51" t="s">
        <v>331</v>
      </c>
      <c r="F23" s="51"/>
      <c r="G23" s="51">
        <v>3</v>
      </c>
      <c r="H23" s="51"/>
      <c r="I23" s="51"/>
      <c r="J23" s="51">
        <v>7</v>
      </c>
      <c r="K23" s="37" t="s">
        <v>1244</v>
      </c>
      <c r="L23" s="50"/>
      <c r="M23" s="4" t="s">
        <v>5</v>
      </c>
      <c r="N23" s="25">
        <v>67.86</v>
      </c>
      <c r="O23" s="25"/>
      <c r="P23" s="25"/>
      <c r="Q23" s="25"/>
      <c r="R23" s="25"/>
      <c r="S23" s="25"/>
      <c r="T23" s="25">
        <v>8.3889999999999993</v>
      </c>
      <c r="U23" s="25">
        <v>76.248999999999995</v>
      </c>
      <c r="V23" s="30">
        <v>18.337413657427643</v>
      </c>
      <c r="W23" s="30">
        <v>148.33435341435691</v>
      </c>
      <c r="X23" s="31">
        <v>45.83</v>
      </c>
      <c r="Y23" s="31"/>
      <c r="Z23" s="31"/>
      <c r="AA23" s="31"/>
      <c r="AB23" s="31"/>
      <c r="AC23" s="31">
        <v>8.67</v>
      </c>
      <c r="AD23" s="31"/>
      <c r="AE23" s="32">
        <v>100.17924280842878</v>
      </c>
      <c r="AF23" s="1"/>
      <c r="AG23" s="4"/>
      <c r="AH23" s="4">
        <v>1953</v>
      </c>
      <c r="AI23" s="6">
        <v>457.48</v>
      </c>
      <c r="AJ23" s="38">
        <v>100</v>
      </c>
      <c r="AK23" s="34" t="s">
        <v>92</v>
      </c>
      <c r="AL23" s="1" t="s">
        <v>95</v>
      </c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42">
        <v>75.099999999999994</v>
      </c>
      <c r="BH23" s="42"/>
      <c r="BI23" s="42"/>
      <c r="BJ23" s="42"/>
      <c r="BK23" s="44">
        <v>75.099999999999994</v>
      </c>
      <c r="BL23" s="44">
        <v>8.39</v>
      </c>
      <c r="BM23" s="44">
        <f>+BK23+BL23</f>
        <v>83.49</v>
      </c>
      <c r="BN23" s="47">
        <v>164.33260393873084</v>
      </c>
      <c r="BO23" s="47">
        <v>18.358862144420133</v>
      </c>
      <c r="BP23" s="45">
        <v>182.69146608315097</v>
      </c>
      <c r="BQ23" s="9">
        <v>457</v>
      </c>
      <c r="BR23" s="4"/>
      <c r="BS23" s="4"/>
      <c r="BT23" s="4"/>
      <c r="BU23" s="4"/>
      <c r="BV23" s="4"/>
      <c r="BW23" s="4"/>
      <c r="BX23" s="4"/>
      <c r="BY23" s="9">
        <f>+INT(BK23*faktorji!$B$3)</f>
        <v>4881</v>
      </c>
      <c r="BZ23" s="9">
        <f>+INT(BL23*faktorji!$B$4)</f>
        <v>1384</v>
      </c>
      <c r="CA23" s="4"/>
      <c r="CB23" s="4">
        <v>0</v>
      </c>
      <c r="CC23" s="4">
        <v>0</v>
      </c>
      <c r="CD23" s="4">
        <v>0</v>
      </c>
      <c r="CE23" s="4">
        <v>0</v>
      </c>
      <c r="CF23" s="4">
        <v>1</v>
      </c>
      <c r="CG23" s="4">
        <v>1</v>
      </c>
      <c r="CH23" s="4">
        <v>1</v>
      </c>
      <c r="CI23" s="9">
        <f>+BQ23*(CB23*faktorji!$B$21+'MOL_tabela rezultatov'!CF147*faktorji!$B$23+'MOL_tabela rezultatov'!CH147*faktorji!$B$26)+faktorji!$B$27*CG23</f>
        <v>25540.5</v>
      </c>
      <c r="CJ23" s="9">
        <f>+(BZ23*CF23*faktorji!$B$18)+(CG23*faktorji!$B$17*('MOL_tabela rezultatov'!BY147+'MOL_tabela rezultatov'!BZ147))+('MOL_tabela rezultatov'!CH147*faktorji!$B$16*'MOL_tabela rezultatov'!BY147)+('MOL_tabela rezultatov'!CB147*faktorji!$B$12*'MOL_tabela rezultatov'!BY147)</f>
        <v>4114.1000000000004</v>
      </c>
      <c r="CK23" s="66">
        <f>+CI23/CJ23</f>
        <v>6.2080406407233655</v>
      </c>
      <c r="CL23" s="3" t="str">
        <f>CONCATENATE(IF(CB23&gt;0,"kotlovnica/toplotna postaja, ",""),IF(CF23&gt;0,"razsvetljava, ",""),IF(CG23&gt;0,"energetsko upravljanje, ",""),IF(CH23&gt;0,"manjši investicijski in organizacijski ukrepi, ",""))</f>
        <v xml:space="preserve">razsvetljava, energetsko upravljanje, manjši investicijski in organizacijski ukrepi, </v>
      </c>
      <c r="CM23" s="9">
        <f>+CJ23*0.9</f>
        <v>3702.6900000000005</v>
      </c>
      <c r="CN23" s="9">
        <f>+CJ23*0.9</f>
        <v>3702.6900000000005</v>
      </c>
      <c r="CO23" s="9">
        <f>+CJ23*0.9</f>
        <v>3702.6900000000005</v>
      </c>
      <c r="CP23" s="69">
        <f>+IF(CI23-SUM(CM23:CO23)&lt;0,0,CI23-SUM(CM23:CO23))</f>
        <v>14432.429999999998</v>
      </c>
      <c r="CQ23" s="9">
        <f>+(BQ23*CE23*faktorji!$B$24)+(BQ23^0.5*CC23*4*4*0.66*faktorji!$B$22)+(BQ23^0.5*CD23*4*4*0.33*faktorji!$B$25)</f>
        <v>0</v>
      </c>
      <c r="CR23" s="3" t="str">
        <f t="shared" si="1"/>
        <v/>
      </c>
      <c r="CS23" s="9">
        <f>+BQ23*('MOL_tabela rezultatov'!CH23*faktorji!$B$26)+faktorji!$B$27*CG23</f>
        <v>18685.5</v>
      </c>
      <c r="CT23" s="3" t="str">
        <f t="shared" si="0"/>
        <v xml:space="preserve">energetsko upravljanje, manjši investicijski in organizacijski ukrepi, </v>
      </c>
      <c r="CU23" s="9"/>
      <c r="CV23" s="9"/>
      <c r="CW23" s="9"/>
      <c r="CX23" s="69"/>
    </row>
    <row r="24" spans="1:102" s="10" customFormat="1" ht="18" customHeight="1">
      <c r="A24" s="118" t="s">
        <v>58</v>
      </c>
      <c r="B24" s="147" t="s">
        <v>59</v>
      </c>
      <c r="C24" s="56"/>
      <c r="D24" s="56"/>
      <c r="E24" s="51" t="s">
        <v>1168</v>
      </c>
      <c r="F24" s="51" t="s">
        <v>1255</v>
      </c>
      <c r="G24" s="51">
        <v>2</v>
      </c>
      <c r="H24" s="51"/>
      <c r="I24" s="51"/>
      <c r="J24" s="51">
        <v>7</v>
      </c>
      <c r="K24" s="37" t="s">
        <v>1243</v>
      </c>
      <c r="L24" s="50"/>
      <c r="M24" s="4" t="s">
        <v>6</v>
      </c>
      <c r="N24" s="25"/>
      <c r="O24" s="25">
        <v>26.72</v>
      </c>
      <c r="P24" s="25"/>
      <c r="Q24" s="25"/>
      <c r="R24" s="25"/>
      <c r="S24" s="25"/>
      <c r="T24" s="25">
        <v>1.02</v>
      </c>
      <c r="U24" s="25">
        <v>27.74</v>
      </c>
      <c r="V24" s="30">
        <v>8.652867322701054</v>
      </c>
      <c r="W24" s="30">
        <v>226.67119104173736</v>
      </c>
      <c r="X24" s="31"/>
      <c r="Y24" s="31"/>
      <c r="Z24" s="31"/>
      <c r="AA24" s="31"/>
      <c r="AB24" s="31"/>
      <c r="AC24" s="31"/>
      <c r="AD24" s="31"/>
      <c r="AE24" s="32">
        <v>0</v>
      </c>
      <c r="AF24" s="1"/>
      <c r="AG24" s="4"/>
      <c r="AH24" s="4" t="s">
        <v>60</v>
      </c>
      <c r="AI24" s="6">
        <v>117.88</v>
      </c>
      <c r="AJ24" s="38">
        <v>100</v>
      </c>
      <c r="AK24" s="3" t="s">
        <v>61</v>
      </c>
      <c r="AL24" s="1" t="s">
        <v>26</v>
      </c>
      <c r="AM24" s="37"/>
      <c r="AN24" s="37"/>
      <c r="AO24" s="37"/>
      <c r="AP24" s="37"/>
      <c r="AQ24" s="37">
        <f>0.066*AQ40</f>
        <v>0</v>
      </c>
      <c r="AR24" s="37">
        <f>0.066*AR40</f>
        <v>0</v>
      </c>
      <c r="AS24" s="37">
        <f>0.066*AS40</f>
        <v>0</v>
      </c>
      <c r="AT24" s="37">
        <f>0.066*AT40</f>
        <v>0</v>
      </c>
      <c r="AU24" s="37"/>
      <c r="AV24" s="37"/>
      <c r="AW24" s="37"/>
      <c r="AX24" s="37"/>
      <c r="AY24" s="37"/>
      <c r="AZ24" s="37"/>
      <c r="BA24" s="37"/>
      <c r="BB24" s="37"/>
      <c r="BC24" s="37">
        <v>8.0982000000000003</v>
      </c>
      <c r="BD24" s="37">
        <v>10.626000000000001</v>
      </c>
      <c r="BE24" s="37">
        <v>10.989000000000001</v>
      </c>
      <c r="BF24" s="37">
        <v>11.147400000000001</v>
      </c>
      <c r="BG24" s="42"/>
      <c r="BH24" s="42">
        <v>24.954599999999999</v>
      </c>
      <c r="BI24" s="42"/>
      <c r="BJ24" s="42"/>
      <c r="BK24" s="44">
        <v>24.954599999999999</v>
      </c>
      <c r="BL24" s="44">
        <v>10.215150000000001</v>
      </c>
      <c r="BM24" s="44">
        <f>+BK24+BL24</f>
        <v>35.169750000000001</v>
      </c>
      <c r="BN24" s="47">
        <v>211.69494401085851</v>
      </c>
      <c r="BO24" s="47">
        <v>86.657193756362418</v>
      </c>
      <c r="BP24" s="45">
        <v>298.35213776722094</v>
      </c>
      <c r="BQ24" s="9">
        <v>117.88</v>
      </c>
      <c r="BR24" s="4"/>
      <c r="BS24" s="4"/>
      <c r="BT24" s="4"/>
      <c r="BU24" s="4"/>
      <c r="BV24" s="4"/>
      <c r="BW24" s="4"/>
      <c r="BX24" s="4"/>
      <c r="BY24" s="9">
        <f>+INT(BK24*faktorji!$B$5)</f>
        <v>2370</v>
      </c>
      <c r="BZ24" s="9">
        <f>+INT(BL24*faktorji!$B$4)</f>
        <v>1685</v>
      </c>
      <c r="CA24" s="3" t="s">
        <v>1313</v>
      </c>
      <c r="CB24" s="4">
        <v>0</v>
      </c>
      <c r="CC24" s="4">
        <v>0</v>
      </c>
      <c r="CD24" s="4">
        <v>0</v>
      </c>
      <c r="CE24" s="4">
        <v>0</v>
      </c>
      <c r="CF24" s="4">
        <v>0</v>
      </c>
      <c r="CG24" s="4">
        <v>1</v>
      </c>
      <c r="CH24" s="4">
        <v>1</v>
      </c>
      <c r="CI24" s="9">
        <f>+BQ24*(CB24*faktorji!$B$21+'MOL_tabela rezultatov'!CF17*faktorji!$B$23+'MOL_tabela rezultatov'!CH17*faktorji!$B$26)+faktorji!$B$27*CG24</f>
        <v>19945.02</v>
      </c>
      <c r="CJ24" s="9">
        <f>+(BZ24*CF24*faktorji!$B$18)+(CG24*faktorji!$B$17*('MOL_tabela rezultatov'!BY17+'MOL_tabela rezultatov'!BZ17))+('MOL_tabela rezultatov'!CH17*faktorji!$B$16*'MOL_tabela rezultatov'!BY17)+('MOL_tabela rezultatov'!CB17*faktorji!$B$12*'MOL_tabela rezultatov'!BY17)</f>
        <v>391.1</v>
      </c>
      <c r="CK24" s="66">
        <f>+CI24/CJ24</f>
        <v>50.997238557913576</v>
      </c>
      <c r="CL24" s="3" t="str">
        <f>CONCATENATE(IF(CB24&gt;0,"kotlovnica/toplotna postaja, ",""),IF(CF24&gt;0,"razsvetljava, ",""),IF(CG24&gt;0,"energetsko upravljanje, ",""),IF(CH24&gt;0,"manjši investicijski in organizacijski ukrepi, ",""))</f>
        <v xml:space="preserve">energetsko upravljanje, manjši investicijski in organizacijski ukrepi, </v>
      </c>
      <c r="CM24" s="9">
        <f>+CJ24*0.9</f>
        <v>351.99</v>
      </c>
      <c r="CN24" s="9">
        <f>+CJ24*0.9</f>
        <v>351.99</v>
      </c>
      <c r="CO24" s="9">
        <f>+CJ24*0.9</f>
        <v>351.99</v>
      </c>
      <c r="CP24" s="69">
        <f>+IF(CI24-SUM(CM24:CO24)&lt;0,0,CI24-SUM(CM24:CO24))</f>
        <v>18889.05</v>
      </c>
      <c r="CQ24" s="9">
        <f>+(BQ24*CE24*faktorji!$B$24)+(BQ24^0.5*CC24*4*4*0.66*faktorji!$B$22)+(BQ24^0.5*CD24*4*4*0.33*faktorji!$B$25)</f>
        <v>0</v>
      </c>
      <c r="CR24" s="3" t="str">
        <f t="shared" si="1"/>
        <v/>
      </c>
      <c r="CS24" s="9">
        <f>+BQ24*('MOL_tabela rezultatov'!CH24*faktorji!$B$26)+faktorji!$B$27*CG24</f>
        <v>18176.82</v>
      </c>
      <c r="CT24" s="3" t="str">
        <f t="shared" si="0"/>
        <v xml:space="preserve">energetsko upravljanje, manjši investicijski in organizacijski ukrepi, </v>
      </c>
      <c r="CU24" s="9"/>
      <c r="CV24" s="9"/>
      <c r="CW24" s="9"/>
      <c r="CX24" s="69"/>
    </row>
    <row r="25" spans="1:102" s="10" customFormat="1" ht="18" hidden="1" customHeight="1">
      <c r="A25" s="54" t="s">
        <v>344</v>
      </c>
      <c r="B25" s="3" t="s">
        <v>345</v>
      </c>
      <c r="C25" s="56"/>
      <c r="D25" s="56"/>
      <c r="E25" s="51" t="s">
        <v>331</v>
      </c>
      <c r="F25" s="51" t="s">
        <v>1255</v>
      </c>
      <c r="G25" s="51">
        <v>3</v>
      </c>
      <c r="H25" s="51"/>
      <c r="I25" s="51"/>
      <c r="J25" s="51">
        <v>7</v>
      </c>
      <c r="K25" s="37" t="s">
        <v>1244</v>
      </c>
      <c r="L25" s="50"/>
      <c r="M25" s="4" t="s">
        <v>5</v>
      </c>
      <c r="N25" s="25">
        <v>520</v>
      </c>
      <c r="O25" s="25"/>
      <c r="P25" s="25"/>
      <c r="Q25" s="25"/>
      <c r="R25" s="25"/>
      <c r="S25" s="25"/>
      <c r="T25" s="25">
        <v>36.1</v>
      </c>
      <c r="U25" s="25">
        <v>556.1</v>
      </c>
      <c r="V25" s="30">
        <v>20.867052023121389</v>
      </c>
      <c r="W25" s="30">
        <v>300.5780346820809</v>
      </c>
      <c r="X25" s="31">
        <v>510</v>
      </c>
      <c r="Y25" s="31"/>
      <c r="Z25" s="31"/>
      <c r="AA25" s="31"/>
      <c r="AB25" s="31"/>
      <c r="AC25" s="31">
        <v>35.4</v>
      </c>
      <c r="AD25" s="31"/>
      <c r="AE25" s="32">
        <v>294.7976878612717</v>
      </c>
      <c r="AF25" s="1"/>
      <c r="AG25" s="4" t="s">
        <v>346</v>
      </c>
      <c r="AH25" s="4"/>
      <c r="AI25" s="6">
        <v>1730</v>
      </c>
      <c r="AJ25" s="38">
        <v>40</v>
      </c>
      <c r="AK25" s="3"/>
      <c r="AL25" s="1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42">
        <v>181.5</v>
      </c>
      <c r="BH25" s="42"/>
      <c r="BI25" s="42"/>
      <c r="BJ25" s="42"/>
      <c r="BK25" s="44">
        <v>181.5</v>
      </c>
      <c r="BL25" s="44">
        <v>36.1</v>
      </c>
      <c r="BM25" s="44">
        <f>+BK25+BL25</f>
        <v>217.6</v>
      </c>
      <c r="BN25" s="47">
        <v>104.91329479768787</v>
      </c>
      <c r="BO25" s="47">
        <v>20.867052023121389</v>
      </c>
      <c r="BP25" s="45">
        <v>125.78034682080924</v>
      </c>
      <c r="BQ25" s="9">
        <v>1730</v>
      </c>
      <c r="BR25" s="4"/>
      <c r="BS25" s="4"/>
      <c r="BT25" s="4"/>
      <c r="BU25" s="4"/>
      <c r="BV25" s="4"/>
      <c r="BW25" s="4"/>
      <c r="BX25" s="4"/>
      <c r="BY25" s="9">
        <f>+INT(BK25*faktorji!$B$3)</f>
        <v>11797</v>
      </c>
      <c r="BZ25" s="9">
        <f>+INT(BL25*faktorji!$B$4)</f>
        <v>5956</v>
      </c>
      <c r="CA25" s="4"/>
      <c r="CB25" s="4">
        <v>0</v>
      </c>
      <c r="CC25" s="4">
        <v>0</v>
      </c>
      <c r="CD25" s="4">
        <v>0</v>
      </c>
      <c r="CE25" s="4">
        <v>0</v>
      </c>
      <c r="CF25" s="4">
        <v>1</v>
      </c>
      <c r="CG25" s="4">
        <v>1</v>
      </c>
      <c r="CH25" s="4">
        <v>1</v>
      </c>
      <c r="CI25" s="9">
        <f>+BQ25*(CB25*faktorji!$B$21+'MOL_tabela rezultatov'!CF137*faktorji!$B$23+'MOL_tabela rezultatov'!CH137*faktorji!$B$26)+faktorji!$B$27*CG25</f>
        <v>46545</v>
      </c>
      <c r="CJ25" s="9">
        <f>+(BZ25*CF25*faktorji!$B$18)+(CG25*faktorji!$B$17*('MOL_tabela rezultatov'!BY137+'MOL_tabela rezultatov'!BZ137))+('MOL_tabela rezultatov'!CH137*faktorji!$B$16*'MOL_tabela rezultatov'!BY137)+('MOL_tabela rezultatov'!CB137*faktorji!$B$12*'MOL_tabela rezultatov'!BY137)</f>
        <v>1582.5</v>
      </c>
      <c r="CK25" s="66">
        <f>+CI25/CJ25</f>
        <v>29.412322274881518</v>
      </c>
      <c r="CL25" s="3" t="str">
        <f>CONCATENATE(IF(CB25&gt;0,"kotlovnica/toplotna postaja, ",""),IF(CF25&gt;0,"razsvetljava, ",""),IF(CG25&gt;0,"energetsko upravljanje, ",""),IF(CH25&gt;0,"manjši investicijski in organizacijski ukrepi, ",""))</f>
        <v xml:space="preserve">razsvetljava, energetsko upravljanje, manjši investicijski in organizacijski ukrepi, </v>
      </c>
      <c r="CM25" s="9">
        <f>+CJ25*0.9</f>
        <v>1424.25</v>
      </c>
      <c r="CN25" s="9">
        <f>+CJ25*0.9</f>
        <v>1424.25</v>
      </c>
      <c r="CO25" s="9">
        <f>+CJ25*0.9</f>
        <v>1424.25</v>
      </c>
      <c r="CP25" s="69">
        <f>+IF(CI25-SUM(CM25:CO25)&lt;0,0,CI25-SUM(CM25:CO25))</f>
        <v>42272.25</v>
      </c>
      <c r="CQ25" s="9">
        <f>+(BQ25*CE25*faktorji!$B$24)+(BQ25^0.5*CC25*4*4*0.66*faktorji!$B$22)+(BQ25^0.5*CD25*4*4*0.33*faktorji!$B$25)</f>
        <v>0</v>
      </c>
      <c r="CR25" s="3" t="str">
        <f t="shared" si="1"/>
        <v/>
      </c>
      <c r="CS25" s="9">
        <f>+BQ25*('MOL_tabela rezultatov'!CH25*faktorji!$B$26)+faktorji!$B$27*CG25</f>
        <v>20595</v>
      </c>
      <c r="CT25" s="3" t="str">
        <f t="shared" si="0"/>
        <v xml:space="preserve">energetsko upravljanje, manjši investicijski in organizacijski ukrepi, </v>
      </c>
      <c r="CU25" s="9"/>
      <c r="CV25" s="9"/>
      <c r="CW25" s="9"/>
      <c r="CX25" s="69"/>
    </row>
    <row r="26" spans="1:102" s="10" customFormat="1" ht="18" hidden="1" customHeight="1">
      <c r="A26" s="54" t="s">
        <v>861</v>
      </c>
      <c r="B26" s="3" t="s">
        <v>860</v>
      </c>
      <c r="C26" s="56"/>
      <c r="D26" s="56"/>
      <c r="E26" s="51" t="s">
        <v>331</v>
      </c>
      <c r="F26" s="51" t="s">
        <v>1255</v>
      </c>
      <c r="G26" s="51">
        <v>3</v>
      </c>
      <c r="H26" s="51" t="s">
        <v>1255</v>
      </c>
      <c r="I26" s="51"/>
      <c r="J26" s="51">
        <v>7</v>
      </c>
      <c r="K26" s="37" t="s">
        <v>1244</v>
      </c>
      <c r="L26" s="50"/>
      <c r="M26" s="110" t="s">
        <v>5</v>
      </c>
      <c r="N26" s="25"/>
      <c r="O26" s="25"/>
      <c r="P26" s="25"/>
      <c r="Q26" s="25"/>
      <c r="R26" s="25"/>
      <c r="S26" s="25"/>
      <c r="T26" s="25"/>
      <c r="U26" s="25"/>
      <c r="V26" s="30"/>
      <c r="W26" s="30"/>
      <c r="X26" s="31"/>
      <c r="Y26" s="31"/>
      <c r="Z26" s="31"/>
      <c r="AA26" s="31"/>
      <c r="AB26" s="31"/>
      <c r="AC26" s="31"/>
      <c r="AD26" s="31"/>
      <c r="AE26" s="32"/>
      <c r="AF26" s="1"/>
      <c r="AG26" s="4"/>
      <c r="AH26" s="4"/>
      <c r="AI26" s="6"/>
      <c r="AJ26" s="38"/>
      <c r="AK26" s="3"/>
      <c r="AL26" s="1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42">
        <v>1350.45</v>
      </c>
      <c r="BH26" s="42"/>
      <c r="BI26" s="42"/>
      <c r="BJ26" s="42"/>
      <c r="BK26" s="107">
        <v>702</v>
      </c>
      <c r="BL26" s="107">
        <v>597.6</v>
      </c>
      <c r="BM26" s="107">
        <f>+BK26+BL26</f>
        <v>1299.5999999999999</v>
      </c>
      <c r="BN26" s="108">
        <f>+BK26*1000/BQ26</f>
        <v>49.436619718309856</v>
      </c>
      <c r="BO26" s="108">
        <f>+BL26*1000/BQ26</f>
        <v>42.08450704225352</v>
      </c>
      <c r="BP26" s="109">
        <f>+BO26+BN26</f>
        <v>91.521126760563376</v>
      </c>
      <c r="BQ26" s="106">
        <v>14200</v>
      </c>
      <c r="BR26" s="110">
        <v>2824</v>
      </c>
      <c r="BS26" s="4"/>
      <c r="BT26" s="4"/>
      <c r="BU26" s="4"/>
      <c r="BV26" s="4"/>
      <c r="BW26" s="4"/>
      <c r="BX26" s="4"/>
      <c r="BY26" s="106">
        <v>33121</v>
      </c>
      <c r="BZ26" s="9">
        <f>+INT(BL26*faktorji!$B$4)</f>
        <v>98604</v>
      </c>
      <c r="CA26" s="114" t="s">
        <v>1420</v>
      </c>
      <c r="CB26" s="4">
        <v>0</v>
      </c>
      <c r="CC26" s="4">
        <v>0</v>
      </c>
      <c r="CD26" s="4">
        <v>0</v>
      </c>
      <c r="CE26" s="4">
        <v>0</v>
      </c>
      <c r="CF26" s="4">
        <v>0</v>
      </c>
      <c r="CG26" s="4">
        <v>1</v>
      </c>
      <c r="CH26" s="4">
        <v>1</v>
      </c>
      <c r="CI26" s="106">
        <v>61600</v>
      </c>
      <c r="CJ26" s="106">
        <v>15600</v>
      </c>
      <c r="CK26" s="115">
        <f>+CI26/CJ26</f>
        <v>3.9487179487179489</v>
      </c>
      <c r="CL26" s="3" t="str">
        <f>CONCATENATE(IF(CB26&gt;0,"kotlovnica/toplotna postaja, ",""),IF(CF26&gt;0,"razsvetljava, ",""),IF(CG26&gt;0,"energetsko upravljanje, ",""),IF(CH26&gt;0,"manjši investicijski in organizacijski ukrepi, ",""))</f>
        <v xml:space="preserve">energetsko upravljanje, manjši investicijski in organizacijski ukrepi, </v>
      </c>
      <c r="CM26" s="9">
        <f>+CJ26*0.9</f>
        <v>14040</v>
      </c>
      <c r="CN26" s="9">
        <f>+CJ26*0.9</f>
        <v>14040</v>
      </c>
      <c r="CO26" s="9">
        <f>+CJ26*0.9</f>
        <v>14040</v>
      </c>
      <c r="CP26" s="69">
        <f>+IF(CI26-SUM(CM26:CO26)&lt;0,0,CI26-SUM(CM26:CO26))</f>
        <v>19480</v>
      </c>
      <c r="CQ26" s="9">
        <f>+(BQ26*CE26*faktorji!$B$24)+(BQ26^0.5*CC26*4*4*0.66*faktorji!$B$22)+(BQ26^0.5*CD26*4*4*0.33*faktorji!$B$25)</f>
        <v>0</v>
      </c>
      <c r="CR26" s="3" t="str">
        <f t="shared" si="1"/>
        <v/>
      </c>
      <c r="CS26" s="9">
        <f>+BQ26*('MOL_tabela rezultatov'!CH26*faktorji!$B$26)+faktorji!$B$27*CG26</f>
        <v>39300</v>
      </c>
      <c r="CT26" s="3" t="str">
        <f t="shared" si="0"/>
        <v xml:space="preserve">energetsko upravljanje, manjši investicijski in organizacijski ukrepi, </v>
      </c>
      <c r="CU26" s="9"/>
      <c r="CV26" s="9"/>
      <c r="CW26" s="9"/>
      <c r="CX26" s="69"/>
    </row>
    <row r="27" spans="1:102" s="10" customFormat="1" ht="18" hidden="1" customHeight="1">
      <c r="A27" s="54" t="s">
        <v>342</v>
      </c>
      <c r="B27" s="3" t="s">
        <v>343</v>
      </c>
      <c r="C27" s="56"/>
      <c r="D27" s="56"/>
      <c r="E27" s="51" t="s">
        <v>331</v>
      </c>
      <c r="F27" s="51" t="s">
        <v>1255</v>
      </c>
      <c r="G27" s="51">
        <v>3</v>
      </c>
      <c r="H27" s="51"/>
      <c r="I27" s="51"/>
      <c r="J27" s="51">
        <v>7</v>
      </c>
      <c r="K27" s="37" t="s">
        <v>1244</v>
      </c>
      <c r="L27" s="50"/>
      <c r="M27" s="4" t="s">
        <v>6</v>
      </c>
      <c r="N27" s="25"/>
      <c r="O27" s="25"/>
      <c r="P27" s="25"/>
      <c r="Q27" s="25"/>
      <c r="R27" s="25"/>
      <c r="S27" s="25">
        <v>415.52393473371484</v>
      </c>
      <c r="T27" s="25">
        <v>172.23020396515764</v>
      </c>
      <c r="U27" s="25">
        <v>172.23020396515764</v>
      </c>
      <c r="V27" s="30">
        <v>72.579099858894921</v>
      </c>
      <c r="W27" s="30">
        <v>175.10490296406019</v>
      </c>
      <c r="X27" s="31"/>
      <c r="Y27" s="31"/>
      <c r="Z27" s="31"/>
      <c r="AA27" s="31"/>
      <c r="AB27" s="31"/>
      <c r="AC27" s="31"/>
      <c r="AD27" s="31"/>
      <c r="AE27" s="32"/>
      <c r="AF27" s="1"/>
      <c r="AG27" s="4"/>
      <c r="AH27" s="4"/>
      <c r="AI27" s="6">
        <v>2373</v>
      </c>
      <c r="AJ27" s="38"/>
      <c r="AK27" s="3"/>
      <c r="AL27" s="1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42"/>
      <c r="BH27" s="42">
        <v>55.3</v>
      </c>
      <c r="BI27" s="42"/>
      <c r="BJ27" s="42"/>
      <c r="BK27" s="44">
        <v>55.3</v>
      </c>
      <c r="BL27" s="44">
        <v>203.38119999999998</v>
      </c>
      <c r="BM27" s="44">
        <f>+BK27+BL27</f>
        <v>258.68119999999999</v>
      </c>
      <c r="BN27" s="47">
        <v>20.338359691062891</v>
      </c>
      <c r="BO27" s="47">
        <v>74.8</v>
      </c>
      <c r="BP27" s="45">
        <v>95.138359691062888</v>
      </c>
      <c r="BQ27" s="9">
        <v>2719</v>
      </c>
      <c r="BR27" s="4"/>
      <c r="BS27" s="4"/>
      <c r="BT27" s="4"/>
      <c r="BU27" s="4"/>
      <c r="BV27" s="4"/>
      <c r="BW27" s="4"/>
      <c r="BX27" s="4"/>
      <c r="BY27" s="9">
        <f>+INT(BK27*faktorji!$B$5)</f>
        <v>5253</v>
      </c>
      <c r="BZ27" s="9">
        <f>+INT(BL27*faktorji!$B$4)</f>
        <v>33557</v>
      </c>
      <c r="CA27" s="4"/>
      <c r="CB27" s="4">
        <v>0</v>
      </c>
      <c r="CC27" s="4">
        <v>0</v>
      </c>
      <c r="CD27" s="4">
        <v>0</v>
      </c>
      <c r="CE27" s="4">
        <v>0</v>
      </c>
      <c r="CF27" s="4">
        <v>1</v>
      </c>
      <c r="CG27" s="4">
        <v>1</v>
      </c>
      <c r="CH27" s="4">
        <v>1</v>
      </c>
      <c r="CI27" s="9">
        <f>+BQ27*(CB27*faktorji!$B$21+'MOL_tabela rezultatov'!CF136*faktorji!$B$23+'MOL_tabela rezultatov'!CH136*faktorji!$B$26)+faktorji!$B$27*CG27</f>
        <v>62863.5</v>
      </c>
      <c r="CJ27" s="9">
        <f>+(BZ27*CF27*faktorji!$B$18)+(CG27*faktorji!$B$17*('MOL_tabela rezultatov'!BY136+'MOL_tabela rezultatov'!BZ136))+('MOL_tabela rezultatov'!CH136*faktorji!$B$16*'MOL_tabela rezultatov'!BY136)+('MOL_tabela rezultatov'!CB136*faktorji!$B$12*'MOL_tabela rezultatov'!BY136)</f>
        <v>5033.55</v>
      </c>
      <c r="CK27" s="66">
        <f>+CI27/CJ27</f>
        <v>12.488899484459278</v>
      </c>
      <c r="CL27" s="3" t="str">
        <f>CONCATENATE(IF(CB27&gt;0,"kotlovnica/toplotna postaja, ",""),IF(CF27&gt;0,"razsvetljava, ",""),IF(CG27&gt;0,"energetsko upravljanje, ",""),IF(CH27&gt;0,"manjši investicijski in organizacijski ukrepi, ",""))</f>
        <v xml:space="preserve">razsvetljava, energetsko upravljanje, manjši investicijski in organizacijski ukrepi, </v>
      </c>
      <c r="CM27" s="9">
        <f>+CJ27*0.9</f>
        <v>4530.1950000000006</v>
      </c>
      <c r="CN27" s="9">
        <f>+CJ27*0.9</f>
        <v>4530.1950000000006</v>
      </c>
      <c r="CO27" s="9">
        <f>+CJ27*0.9</f>
        <v>4530.1950000000006</v>
      </c>
      <c r="CP27" s="69">
        <f>+IF(CI27-SUM(CM27:CO27)&lt;0,0,CI27-SUM(CM27:CO27))</f>
        <v>49272.914999999994</v>
      </c>
      <c r="CQ27" s="9">
        <f>+(BQ27*CE27*faktorji!$B$24)+(BQ27^0.5*CC27*4*4*0.66*faktorji!$B$22)+(BQ27^0.5*CD27*4*4*0.33*faktorji!$B$25)</f>
        <v>0</v>
      </c>
      <c r="CR27" s="3" t="str">
        <f t="shared" si="1"/>
        <v/>
      </c>
      <c r="CS27" s="9">
        <f>+BQ27*('MOL_tabela rezultatov'!CH27*faktorji!$B$26)+faktorji!$B$27*CG27</f>
        <v>22078.5</v>
      </c>
      <c r="CT27" s="3" t="str">
        <f t="shared" si="0"/>
        <v xml:space="preserve">energetsko upravljanje, manjši investicijski in organizacijski ukrepi, </v>
      </c>
      <c r="CU27" s="9"/>
      <c r="CV27" s="9"/>
      <c r="CW27" s="9"/>
      <c r="CX27" s="69"/>
    </row>
    <row r="28" spans="1:102" s="10" customFormat="1" ht="18" hidden="1" customHeight="1">
      <c r="A28" s="54" t="s">
        <v>409</v>
      </c>
      <c r="B28" s="3" t="s">
        <v>410</v>
      </c>
      <c r="C28" s="56"/>
      <c r="D28" s="56"/>
      <c r="E28" s="51" t="s">
        <v>331</v>
      </c>
      <c r="F28" s="51" t="s">
        <v>1255</v>
      </c>
      <c r="G28" s="51">
        <v>3</v>
      </c>
      <c r="H28" s="51"/>
      <c r="I28" s="51"/>
      <c r="J28" s="51">
        <v>7</v>
      </c>
      <c r="K28" s="37" t="s">
        <v>1242</v>
      </c>
      <c r="L28" s="50"/>
      <c r="M28" s="4" t="s">
        <v>7</v>
      </c>
      <c r="N28" s="25"/>
      <c r="O28" s="25"/>
      <c r="P28" s="25">
        <v>118.1</v>
      </c>
      <c r="Q28" s="25"/>
      <c r="R28" s="25"/>
      <c r="S28" s="25"/>
      <c r="T28" s="25">
        <v>30.3</v>
      </c>
      <c r="U28" s="25">
        <v>148.4</v>
      </c>
      <c r="V28" s="30">
        <v>110.3825136612022</v>
      </c>
      <c r="W28" s="30">
        <v>213.17689530685919</v>
      </c>
      <c r="X28" s="31"/>
      <c r="Y28" s="31"/>
      <c r="Z28" s="31">
        <v>159</v>
      </c>
      <c r="AA28" s="31"/>
      <c r="AB28" s="31"/>
      <c r="AC28" s="31"/>
      <c r="AD28" s="31"/>
      <c r="AE28" s="32">
        <v>287.00361010830323</v>
      </c>
      <c r="AF28" s="1" t="s">
        <v>411</v>
      </c>
      <c r="AG28" s="4">
        <v>1995</v>
      </c>
      <c r="AH28" s="4" t="s">
        <v>412</v>
      </c>
      <c r="AI28" s="6">
        <v>274.5</v>
      </c>
      <c r="AJ28" s="38">
        <v>100</v>
      </c>
      <c r="AK28" s="3"/>
      <c r="AL28" s="1"/>
      <c r="AM28" s="37"/>
      <c r="AN28" s="37"/>
      <c r="AO28" s="37"/>
      <c r="AP28" s="37"/>
      <c r="AQ28" s="37"/>
      <c r="AR28" s="37"/>
      <c r="AS28" s="37"/>
      <c r="AT28" s="37"/>
      <c r="AU28" s="37">
        <v>150</v>
      </c>
      <c r="AV28" s="37">
        <v>200</v>
      </c>
      <c r="AW28" s="37">
        <v>130</v>
      </c>
      <c r="AX28" s="37">
        <v>168</v>
      </c>
      <c r="AY28" s="37"/>
      <c r="AZ28" s="37"/>
      <c r="BA28" s="37"/>
      <c r="BB28" s="37"/>
      <c r="BC28" s="37"/>
      <c r="BD28" s="37"/>
      <c r="BE28" s="37"/>
      <c r="BF28" s="37"/>
      <c r="BG28" s="42"/>
      <c r="BH28" s="42"/>
      <c r="BI28" s="42">
        <v>162</v>
      </c>
      <c r="BJ28" s="42"/>
      <c r="BK28" s="44">
        <v>162</v>
      </c>
      <c r="BL28" s="44">
        <v>30.3</v>
      </c>
      <c r="BM28" s="44">
        <f>+BK28+BL28</f>
        <v>192.3</v>
      </c>
      <c r="BN28" s="47">
        <v>589.09090909090912</v>
      </c>
      <c r="BO28" s="47">
        <v>110.18181818181819</v>
      </c>
      <c r="BP28" s="45">
        <v>699.27272727272725</v>
      </c>
      <c r="BQ28" s="9">
        <v>275</v>
      </c>
      <c r="BR28" s="4" t="s">
        <v>1162</v>
      </c>
      <c r="BS28" s="4">
        <v>1995</v>
      </c>
      <c r="BT28" s="4" t="s">
        <v>872</v>
      </c>
      <c r="BU28" s="4"/>
      <c r="BV28" s="4" t="s">
        <v>871</v>
      </c>
      <c r="BW28" s="4"/>
      <c r="BX28" s="4"/>
      <c r="BY28" s="9">
        <f>+INT(BK28*faktorji!$B$6)</f>
        <v>20250</v>
      </c>
      <c r="BZ28" s="9">
        <f>+INT(BL28*faktorji!$B$4)</f>
        <v>4999</v>
      </c>
      <c r="CA28" s="4"/>
      <c r="CB28" s="4">
        <v>0</v>
      </c>
      <c r="CC28" s="4">
        <v>0</v>
      </c>
      <c r="CD28" s="4">
        <v>0</v>
      </c>
      <c r="CE28" s="4">
        <v>0</v>
      </c>
      <c r="CF28" s="4">
        <v>0</v>
      </c>
      <c r="CG28" s="4">
        <v>1</v>
      </c>
      <c r="CH28" s="4">
        <v>1</v>
      </c>
      <c r="CI28" s="9" t="e">
        <f>+BQ28*(CB28*faktorji!$B$21+'MOL_tabela rezultatov'!#REF!*faktorji!$B$23+'MOL_tabela rezultatov'!#REF!*faktorji!$B$26)+faktorji!$B$27*CG28</f>
        <v>#REF!</v>
      </c>
      <c r="CJ28" s="9" t="e">
        <f>+(BZ28*CF28*faktorji!$B$18)+(CG28*faktorji!$B$17*('MOL_tabela rezultatov'!#REF!+'MOL_tabela rezultatov'!#REF!))+('MOL_tabela rezultatov'!#REF!*faktorji!$B$16*'MOL_tabela rezultatov'!#REF!)+('MOL_tabela rezultatov'!#REF!*faktorji!$B$12*'MOL_tabela rezultatov'!#REF!)</f>
        <v>#REF!</v>
      </c>
      <c r="CK28" s="66" t="e">
        <f>+CI28/CJ28</f>
        <v>#REF!</v>
      </c>
      <c r="CL28" s="3" t="str">
        <f>CONCATENATE(IF(CB28&gt;0,"kotlovnica/toplotna postaja, ",""),IF(CF28&gt;0,"razsvetljava, ",""),IF(CG28&gt;0,"energetsko upravljanje, ",""),IF(CH28&gt;0,"manjši investicijski in organizacijski ukrepi, ",""))</f>
        <v xml:space="preserve">energetsko upravljanje, manjši investicijski in organizacijski ukrepi, </v>
      </c>
      <c r="CM28" s="9" t="e">
        <f>+CJ28*0.9</f>
        <v>#REF!</v>
      </c>
      <c r="CN28" s="9" t="e">
        <f>+CJ28*0.9</f>
        <v>#REF!</v>
      </c>
      <c r="CO28" s="9" t="e">
        <f>+CJ28*0.9</f>
        <v>#REF!</v>
      </c>
      <c r="CP28" s="69" t="e">
        <f>+IF(CI28-SUM(CM28:CO28)&lt;0,0,CI28-SUM(CM28:CO28))</f>
        <v>#REF!</v>
      </c>
      <c r="CQ28" s="9">
        <f>+(BQ28*CE28*faktorji!$B$24)+(BQ28^0.5*CC28*4*4*0.66*faktorji!$B$22)+(BQ28^0.5*CD28*4*4*0.33*faktorji!$B$25)</f>
        <v>0</v>
      </c>
      <c r="CR28" s="3" t="str">
        <f t="shared" si="1"/>
        <v/>
      </c>
      <c r="CS28" s="9">
        <f>+BQ28*('MOL_tabela rezultatov'!CH28*faktorji!$B$26)+faktorji!$B$27*CG28</f>
        <v>18412.5</v>
      </c>
      <c r="CT28" s="3" t="str">
        <f t="shared" si="0"/>
        <v xml:space="preserve">energetsko upravljanje, manjši investicijski in organizacijski ukrepi, </v>
      </c>
      <c r="CU28" s="9"/>
      <c r="CV28" s="9"/>
      <c r="CW28" s="9"/>
      <c r="CX28" s="69"/>
    </row>
    <row r="29" spans="1:102" s="10" customFormat="1" ht="18" hidden="1" customHeight="1">
      <c r="A29" s="54" t="s">
        <v>370</v>
      </c>
      <c r="B29" s="3" t="s">
        <v>371</v>
      </c>
      <c r="C29" s="56"/>
      <c r="D29" s="56"/>
      <c r="E29" s="51" t="s">
        <v>331</v>
      </c>
      <c r="F29" s="51" t="s">
        <v>1255</v>
      </c>
      <c r="G29" s="51">
        <v>3</v>
      </c>
      <c r="H29" s="51"/>
      <c r="I29" s="51"/>
      <c r="J29" s="51">
        <v>7</v>
      </c>
      <c r="K29" s="37" t="s">
        <v>1241</v>
      </c>
      <c r="L29" s="50"/>
      <c r="M29" s="4" t="s">
        <v>1229</v>
      </c>
      <c r="N29" s="25"/>
      <c r="O29" s="25"/>
      <c r="P29" s="25"/>
      <c r="Q29" s="25"/>
      <c r="R29" s="25"/>
      <c r="S29" s="25"/>
      <c r="T29" s="25"/>
      <c r="U29" s="25"/>
      <c r="V29" s="30"/>
      <c r="W29" s="30"/>
      <c r="X29" s="31"/>
      <c r="Y29" s="31"/>
      <c r="Z29" s="31"/>
      <c r="AA29" s="31"/>
      <c r="AB29" s="31"/>
      <c r="AC29" s="31"/>
      <c r="AD29" s="31"/>
      <c r="AE29" s="32"/>
      <c r="AF29" s="1"/>
      <c r="AG29" s="4"/>
      <c r="AH29" s="4"/>
      <c r="AI29" s="6"/>
      <c r="AJ29" s="38"/>
      <c r="AK29" s="3"/>
      <c r="AL29" s="1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42"/>
      <c r="BH29" s="42"/>
      <c r="BI29" s="42"/>
      <c r="BJ29" s="42"/>
      <c r="BK29" s="44"/>
      <c r="BL29" s="44"/>
      <c r="BM29" s="44">
        <f>+BK29+BL29</f>
        <v>0</v>
      </c>
      <c r="BN29" s="48"/>
      <c r="BO29" s="48"/>
      <c r="BP29" s="46"/>
      <c r="BQ29" s="7"/>
      <c r="BR29" s="4"/>
      <c r="BS29" s="4"/>
      <c r="BT29" s="4"/>
      <c r="BU29" s="4"/>
      <c r="BV29" s="4"/>
      <c r="BW29" s="4"/>
      <c r="BX29" s="4" t="s">
        <v>858</v>
      </c>
      <c r="BY29" s="9">
        <v>0</v>
      </c>
      <c r="BZ29" s="9">
        <f>+INT(BL29*faktorji!$B$4)</f>
        <v>0</v>
      </c>
      <c r="CA29" s="4"/>
      <c r="CB29" s="4">
        <v>0</v>
      </c>
      <c r="CC29" s="4">
        <v>0</v>
      </c>
      <c r="CD29" s="4">
        <v>0</v>
      </c>
      <c r="CE29" s="4">
        <v>0</v>
      </c>
      <c r="CF29" s="4">
        <v>1</v>
      </c>
      <c r="CG29" s="4">
        <v>1</v>
      </c>
      <c r="CH29" s="4">
        <v>1</v>
      </c>
      <c r="CI29" s="9">
        <f>+BQ29*(CB29*faktorji!$B$21+'MOL_tabela rezultatov'!CF146*faktorji!$B$23+'MOL_tabela rezultatov'!CH146*faktorji!$B$26)+faktorji!$B$27*CG29</f>
        <v>18000</v>
      </c>
      <c r="CJ29" s="9">
        <f>+(BZ29*CF29*faktorji!$B$18)+(CG29*faktorji!$B$17*('MOL_tabela rezultatov'!BY146+'MOL_tabela rezultatov'!BZ146))+('MOL_tabela rezultatov'!CH146*faktorji!$B$16*'MOL_tabela rezultatov'!BY146)+('MOL_tabela rezultatov'!CB146*faktorji!$B$12*'MOL_tabela rezultatov'!BY146)</f>
        <v>661.5</v>
      </c>
      <c r="CK29" s="66">
        <f>+CI29/CJ29</f>
        <v>27.210884353741495</v>
      </c>
      <c r="CL29" s="3" t="str">
        <f>CONCATENATE(IF(CB29&gt;0,"kotlovnica/toplotna postaja, ",""),IF(CF29&gt;0,"razsvetljava, ",""),IF(CG29&gt;0,"energetsko upravljanje, ",""),IF(CH29&gt;0,"manjši investicijski in organizacijski ukrepi, ",""))</f>
        <v xml:space="preserve">razsvetljava, energetsko upravljanje, manjši investicijski in organizacijski ukrepi, </v>
      </c>
      <c r="CM29" s="9">
        <f>+CJ29*0.9</f>
        <v>595.35</v>
      </c>
      <c r="CN29" s="9">
        <f>+CJ29*0.9</f>
        <v>595.35</v>
      </c>
      <c r="CO29" s="9">
        <f>+CJ29*0.9</f>
        <v>595.35</v>
      </c>
      <c r="CP29" s="69">
        <f>+IF(CI29-SUM(CM29:CO29)&lt;0,0,CI29-SUM(CM29:CO29))</f>
        <v>16213.95</v>
      </c>
      <c r="CQ29" s="9">
        <f>+(BQ29*CE29*faktorji!$B$24)+(BQ29^0.5*CC29*4*4*0.66*faktorji!$B$22)+(BQ29^0.5*CD29*4*4*0.33*faktorji!$B$25)</f>
        <v>0</v>
      </c>
      <c r="CR29" s="3" t="str">
        <f t="shared" si="1"/>
        <v/>
      </c>
      <c r="CS29" s="9">
        <f>+BQ29*('MOL_tabela rezultatov'!CH29*faktorji!$B$26)+faktorji!$B$27*CG29</f>
        <v>18000</v>
      </c>
      <c r="CT29" s="3" t="str">
        <f t="shared" si="0"/>
        <v xml:space="preserve">energetsko upravljanje, manjši investicijski in organizacijski ukrepi, </v>
      </c>
      <c r="CU29" s="9"/>
      <c r="CV29" s="9"/>
      <c r="CW29" s="9"/>
      <c r="CX29" s="69"/>
    </row>
    <row r="30" spans="1:102" s="10" customFormat="1" ht="18" hidden="1" customHeight="1">
      <c r="A30" s="54" t="s">
        <v>388</v>
      </c>
      <c r="B30" s="3" t="s">
        <v>389</v>
      </c>
      <c r="C30" s="56"/>
      <c r="D30" s="56"/>
      <c r="E30" s="51" t="s">
        <v>331</v>
      </c>
      <c r="F30" s="51" t="s">
        <v>1255</v>
      </c>
      <c r="G30" s="51">
        <v>3</v>
      </c>
      <c r="H30" s="51"/>
      <c r="I30" s="51"/>
      <c r="J30" s="51">
        <v>7</v>
      </c>
      <c r="K30" s="37" t="s">
        <v>1242</v>
      </c>
      <c r="L30" s="50"/>
      <c r="M30" s="4" t="s">
        <v>1229</v>
      </c>
      <c r="N30" s="25"/>
      <c r="O30" s="25"/>
      <c r="P30" s="25"/>
      <c r="Q30" s="25"/>
      <c r="R30" s="25"/>
      <c r="S30" s="25"/>
      <c r="T30" s="25"/>
      <c r="U30" s="25"/>
      <c r="V30" s="30"/>
      <c r="W30" s="30"/>
      <c r="X30" s="31"/>
      <c r="Y30" s="31"/>
      <c r="Z30" s="31"/>
      <c r="AA30" s="31"/>
      <c r="AB30" s="31"/>
      <c r="AC30" s="31"/>
      <c r="AD30" s="31"/>
      <c r="AE30" s="32"/>
      <c r="AF30" s="1"/>
      <c r="AG30" s="4"/>
      <c r="AH30" s="4"/>
      <c r="AI30" s="6"/>
      <c r="AJ30" s="38"/>
      <c r="AK30" s="3"/>
      <c r="AL30" s="1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42"/>
      <c r="BH30" s="42"/>
      <c r="BI30" s="42"/>
      <c r="BJ30" s="42"/>
      <c r="BK30" s="44"/>
      <c r="BL30" s="44"/>
      <c r="BM30" s="44">
        <f>+BK30+BL30</f>
        <v>0</v>
      </c>
      <c r="BN30" s="47"/>
      <c r="BO30" s="47"/>
      <c r="BP30" s="45"/>
      <c r="BQ30" s="9"/>
      <c r="BR30" s="4"/>
      <c r="BS30" s="4"/>
      <c r="BT30" s="4"/>
      <c r="BU30" s="4"/>
      <c r="BV30" s="4"/>
      <c r="BW30" s="4"/>
      <c r="BX30" s="4" t="s">
        <v>858</v>
      </c>
      <c r="BY30" s="9">
        <v>0</v>
      </c>
      <c r="BZ30" s="9">
        <f>+INT(BL30*faktorji!$B$4)</f>
        <v>0</v>
      </c>
      <c r="CA30" s="4"/>
      <c r="CB30" s="4">
        <v>0</v>
      </c>
      <c r="CC30" s="4">
        <v>0</v>
      </c>
      <c r="CD30" s="4">
        <v>0</v>
      </c>
      <c r="CE30" s="4">
        <v>0</v>
      </c>
      <c r="CF30" s="4">
        <v>0</v>
      </c>
      <c r="CG30" s="4">
        <v>1</v>
      </c>
      <c r="CH30" s="4">
        <v>1</v>
      </c>
      <c r="CI30" s="9">
        <f>+BQ30*(CB30*faktorji!$B$21+'MOL_tabela rezultatov'!CF154*faktorji!$B$23+'MOL_tabela rezultatov'!CH154*faktorji!$B$26)+faktorji!$B$27*CG30</f>
        <v>18000</v>
      </c>
      <c r="CJ30" s="9">
        <f>+(BZ30*CF30*faktorji!$B$18)+(CG30*faktorji!$B$17*('MOL_tabela rezultatov'!BY154+'MOL_tabela rezultatov'!BZ154))+('MOL_tabela rezultatov'!CH154*faktorji!$B$16*'MOL_tabela rezultatov'!BY154)+('MOL_tabela rezultatov'!CB154*faktorji!$B$12*'MOL_tabela rezultatov'!BY154)</f>
        <v>109</v>
      </c>
      <c r="CK30" s="66">
        <f>+CI30/CJ30</f>
        <v>165.13761467889907</v>
      </c>
      <c r="CL30" s="3" t="str">
        <f>CONCATENATE(IF(CB30&gt;0,"kotlovnica/toplotna postaja, ",""),IF(CF30&gt;0,"razsvetljava, ",""),IF(CG30&gt;0,"energetsko upravljanje, ",""),IF(CH30&gt;0,"manjši investicijski in organizacijski ukrepi, ",""))</f>
        <v xml:space="preserve">energetsko upravljanje, manjši investicijski in organizacijski ukrepi, </v>
      </c>
      <c r="CM30" s="9">
        <f>+CJ30*0.9</f>
        <v>98.100000000000009</v>
      </c>
      <c r="CN30" s="9">
        <f>+CJ30*0.9</f>
        <v>98.100000000000009</v>
      </c>
      <c r="CO30" s="9">
        <f>+CJ30*0.9</f>
        <v>98.100000000000009</v>
      </c>
      <c r="CP30" s="69">
        <f>+IF(CI30-SUM(CM30:CO30)&lt;0,0,CI30-SUM(CM30:CO30))</f>
        <v>17705.7</v>
      </c>
      <c r="CQ30" s="9">
        <f>+(BQ30*CE30*faktorji!$B$24)+(BQ30^0.5*CC30*4*4*0.66*faktorji!$B$22)+(BQ30^0.5*CD30*4*4*0.33*faktorji!$B$25)</f>
        <v>0</v>
      </c>
      <c r="CR30" s="3" t="str">
        <f t="shared" si="1"/>
        <v/>
      </c>
      <c r="CS30" s="9">
        <f>+BQ30*('MOL_tabela rezultatov'!CH30*faktorji!$B$26)+faktorji!$B$27*CG30</f>
        <v>18000</v>
      </c>
      <c r="CT30" s="3" t="str">
        <f t="shared" si="0"/>
        <v xml:space="preserve">energetsko upravljanje, manjši investicijski in organizacijski ukrepi, </v>
      </c>
      <c r="CU30" s="9"/>
      <c r="CV30" s="9"/>
      <c r="CW30" s="9"/>
      <c r="CX30" s="69"/>
    </row>
    <row r="31" spans="1:102" s="10" customFormat="1" ht="18" hidden="1" customHeight="1">
      <c r="A31" s="54" t="s">
        <v>394</v>
      </c>
      <c r="B31" s="3" t="s">
        <v>395</v>
      </c>
      <c r="C31" s="56"/>
      <c r="D31" s="56"/>
      <c r="E31" s="51" t="s">
        <v>331</v>
      </c>
      <c r="F31" s="51" t="s">
        <v>1255</v>
      </c>
      <c r="G31" s="51">
        <v>3</v>
      </c>
      <c r="H31" s="51"/>
      <c r="I31" s="51"/>
      <c r="J31" s="51">
        <v>7</v>
      </c>
      <c r="K31" s="37" t="s">
        <v>1244</v>
      </c>
      <c r="L31" s="50"/>
      <c r="M31" s="4" t="s">
        <v>6</v>
      </c>
      <c r="N31" s="25"/>
      <c r="O31" s="25">
        <v>7.8849999999999998</v>
      </c>
      <c r="P31" s="25"/>
      <c r="Q31" s="25"/>
      <c r="R31" s="25"/>
      <c r="S31" s="25"/>
      <c r="T31" s="25">
        <v>7.7659636849017559</v>
      </c>
      <c r="U31" s="25">
        <v>15.650963684901756</v>
      </c>
      <c r="V31" s="30">
        <v>72.579099858894921</v>
      </c>
      <c r="W31" s="30">
        <v>73.691588785046733</v>
      </c>
      <c r="X31" s="31"/>
      <c r="Y31" s="31"/>
      <c r="Z31" s="31"/>
      <c r="AA31" s="31"/>
      <c r="AB31" s="31"/>
      <c r="AC31" s="31"/>
      <c r="AD31" s="31"/>
      <c r="AE31" s="32"/>
      <c r="AF31" s="1"/>
      <c r="AG31" s="4"/>
      <c r="AH31" s="4" t="s">
        <v>396</v>
      </c>
      <c r="AI31" s="6">
        <v>107</v>
      </c>
      <c r="AJ31" s="38"/>
      <c r="AK31" s="3"/>
      <c r="AL31" s="1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42"/>
      <c r="BH31" s="42">
        <v>8.15</v>
      </c>
      <c r="BI31" s="42"/>
      <c r="BJ31" s="42"/>
      <c r="BK31" s="44">
        <v>8.15</v>
      </c>
      <c r="BL31" s="44">
        <v>8.0035999999999987</v>
      </c>
      <c r="BM31" s="44">
        <f>+BK31+BL31</f>
        <v>16.153599999999997</v>
      </c>
      <c r="BN31" s="47">
        <v>76.168224299065415</v>
      </c>
      <c r="BO31" s="47">
        <v>74.8</v>
      </c>
      <c r="BP31" s="45">
        <v>150.96822429906538</v>
      </c>
      <c r="BQ31" s="9">
        <v>107</v>
      </c>
      <c r="BR31" s="4"/>
      <c r="BS31" s="4"/>
      <c r="BT31" s="4"/>
      <c r="BU31" s="4"/>
      <c r="BV31" s="4"/>
      <c r="BW31" s="4"/>
      <c r="BX31" s="4"/>
      <c r="BY31" s="9">
        <f>+INT(BK31*faktorji!$B$5)</f>
        <v>774</v>
      </c>
      <c r="BZ31" s="9">
        <f>+INT(BL31*faktorji!$B$4)</f>
        <v>1320</v>
      </c>
      <c r="CA31" s="4"/>
      <c r="CB31" s="4">
        <v>0</v>
      </c>
      <c r="CC31" s="4">
        <v>0</v>
      </c>
      <c r="CD31" s="4">
        <v>0</v>
      </c>
      <c r="CE31" s="4">
        <v>0</v>
      </c>
      <c r="CF31" s="4">
        <v>0</v>
      </c>
      <c r="CG31" s="4">
        <v>1</v>
      </c>
      <c r="CH31" s="4">
        <v>1</v>
      </c>
      <c r="CI31" s="9">
        <f>+BQ31*(CB31*faktorji!$B$21+'MOL_tabela rezultatov'!CF157*faktorji!$B$23+'MOL_tabela rezultatov'!CH157*faktorji!$B$26)+faktorji!$B$27*CG31</f>
        <v>19765.5</v>
      </c>
      <c r="CJ31" s="9">
        <f>+(BZ31*CF31*faktorji!$B$18)+(CG31*faktorji!$B$17*('MOL_tabela rezultatov'!BY157+'MOL_tabela rezultatov'!BZ157))+('MOL_tabela rezultatov'!CH157*faktorji!$B$16*'MOL_tabela rezultatov'!BY157)+('MOL_tabela rezultatov'!CB157*faktorji!$B$12*'MOL_tabela rezultatov'!BY157)</f>
        <v>5435.7000000000007</v>
      </c>
      <c r="CK31" s="66">
        <f>+CI31/CJ31</f>
        <v>3.6362382029913345</v>
      </c>
      <c r="CL31" s="3" t="str">
        <f>CONCATENATE(IF(CB31&gt;0,"kotlovnica/toplotna postaja, ",""),IF(CF31&gt;0,"razsvetljava, ",""),IF(CG31&gt;0,"energetsko upravljanje, ",""),IF(CH31&gt;0,"manjši investicijski in organizacijski ukrepi, ",""))</f>
        <v xml:space="preserve">energetsko upravljanje, manjši investicijski in organizacijski ukrepi, </v>
      </c>
      <c r="CM31" s="9">
        <f>+CJ31*0.9</f>
        <v>4892.130000000001</v>
      </c>
      <c r="CN31" s="9">
        <f>+CJ31*0.9</f>
        <v>4892.130000000001</v>
      </c>
      <c r="CO31" s="9">
        <f>+CJ31*0.9</f>
        <v>4892.130000000001</v>
      </c>
      <c r="CP31" s="69">
        <f>+IF(CI31-SUM(CM31:CO31)&lt;0,0,CI31-SUM(CM31:CO31))</f>
        <v>5089.1099999999969</v>
      </c>
      <c r="CQ31" s="9">
        <f>+(BQ31*CE31*faktorji!$B$24)+(BQ31^0.5*CC31*4*4*0.66*faktorji!$B$22)+(BQ31^0.5*CD31*4*4*0.33*faktorji!$B$25)</f>
        <v>0</v>
      </c>
      <c r="CR31" s="3" t="str">
        <f t="shared" si="1"/>
        <v/>
      </c>
      <c r="CS31" s="9">
        <f>+BQ31*('MOL_tabela rezultatov'!CH31*faktorji!$B$26)+faktorji!$B$27*CG31</f>
        <v>18160.5</v>
      </c>
      <c r="CT31" s="3" t="str">
        <f t="shared" si="0"/>
        <v xml:space="preserve">energetsko upravljanje, manjši investicijski in organizacijski ukrepi, </v>
      </c>
      <c r="CU31" s="9"/>
      <c r="CV31" s="9"/>
      <c r="CW31" s="9"/>
      <c r="CX31" s="69"/>
    </row>
    <row r="32" spans="1:102" s="10" customFormat="1" ht="18" hidden="1" customHeight="1">
      <c r="A32" s="54" t="s">
        <v>352</v>
      </c>
      <c r="B32" s="3" t="s">
        <v>353</v>
      </c>
      <c r="C32" s="56"/>
      <c r="D32" s="56"/>
      <c r="E32" s="51" t="s">
        <v>331</v>
      </c>
      <c r="F32" s="51" t="s">
        <v>1255</v>
      </c>
      <c r="G32" s="51">
        <v>3</v>
      </c>
      <c r="H32" s="51"/>
      <c r="I32" s="51"/>
      <c r="J32" s="51">
        <v>7</v>
      </c>
      <c r="K32" s="37" t="s">
        <v>1241</v>
      </c>
      <c r="L32" s="50"/>
      <c r="M32" s="4" t="s">
        <v>5</v>
      </c>
      <c r="N32" s="25"/>
      <c r="O32" s="25"/>
      <c r="P32" s="25"/>
      <c r="Q32" s="25"/>
      <c r="R32" s="25"/>
      <c r="S32" s="25">
        <v>415.52393473371484</v>
      </c>
      <c r="T32" s="25">
        <v>172.23020396515764</v>
      </c>
      <c r="U32" s="25">
        <v>172.23020396515764</v>
      </c>
      <c r="V32" s="30">
        <v>72.579099858894921</v>
      </c>
      <c r="W32" s="30">
        <v>175.10490296406019</v>
      </c>
      <c r="X32" s="31"/>
      <c r="Y32" s="31"/>
      <c r="Z32" s="31"/>
      <c r="AA32" s="31"/>
      <c r="AB32" s="31"/>
      <c r="AC32" s="31"/>
      <c r="AD32" s="31"/>
      <c r="AE32" s="32"/>
      <c r="AF32" s="1"/>
      <c r="AG32" s="4"/>
      <c r="AH32" s="4"/>
      <c r="AI32" s="6">
        <v>2373</v>
      </c>
      <c r="AJ32" s="38"/>
      <c r="AK32" s="3"/>
      <c r="AL32" s="1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42">
        <v>367.60879999999997</v>
      </c>
      <c r="BH32" s="42"/>
      <c r="BI32" s="42"/>
      <c r="BJ32" s="42"/>
      <c r="BK32" s="44">
        <v>367.60879999999997</v>
      </c>
      <c r="BL32" s="44">
        <v>203.38119999999998</v>
      </c>
      <c r="BM32" s="44">
        <f>+BK32+BL32</f>
        <v>570.99</v>
      </c>
      <c r="BN32" s="47">
        <v>135.19999999999999</v>
      </c>
      <c r="BO32" s="47">
        <v>74.8</v>
      </c>
      <c r="BP32" s="45">
        <v>210</v>
      </c>
      <c r="BQ32" s="9">
        <v>2719</v>
      </c>
      <c r="BR32" s="4"/>
      <c r="BS32" s="4"/>
      <c r="BT32" s="4"/>
      <c r="BU32" s="4"/>
      <c r="BV32" s="4"/>
      <c r="BW32" s="4"/>
      <c r="BX32" s="4"/>
      <c r="BY32" s="9">
        <f>+INT(BK32*faktorji!$B$3)</f>
        <v>23894</v>
      </c>
      <c r="BZ32" s="9">
        <f>+INT(BL32*faktorji!$B$4)</f>
        <v>33557</v>
      </c>
      <c r="CA32" s="4"/>
      <c r="CB32" s="4">
        <v>0</v>
      </c>
      <c r="CC32" s="4">
        <v>0</v>
      </c>
      <c r="CD32" s="4">
        <v>0</v>
      </c>
      <c r="CE32" s="4">
        <v>0</v>
      </c>
      <c r="CF32" s="4">
        <v>1</v>
      </c>
      <c r="CG32" s="4">
        <v>1</v>
      </c>
      <c r="CH32" s="4">
        <v>1</v>
      </c>
      <c r="CI32" s="9">
        <f>+BQ32*(CB32*faktorji!$B$21+'MOL_tabela rezultatov'!CF139*faktorji!$B$23+'MOL_tabela rezultatov'!CH139*faktorji!$B$26)+faktorji!$B$27*CG32</f>
        <v>62863.5</v>
      </c>
      <c r="CJ32" s="9">
        <f>+(BZ32*CF32*faktorji!$B$18)+(CG32*faktorji!$B$17*('MOL_tabela rezultatov'!BY139+'MOL_tabela rezultatov'!BZ139))+('MOL_tabela rezultatov'!CH139*faktorji!$B$16*'MOL_tabela rezultatov'!BY139)+('MOL_tabela rezultatov'!CB139*faktorji!$B$12*'MOL_tabela rezultatov'!BY139)</f>
        <v>5707.4500000000007</v>
      </c>
      <c r="CK32" s="66">
        <f>+CI32/CJ32</f>
        <v>11.01428834242963</v>
      </c>
      <c r="CL32" s="3" t="str">
        <f>CONCATENATE(IF(CB32&gt;0,"kotlovnica/toplotna postaja, ",""),IF(CF32&gt;0,"razsvetljava, ",""),IF(CG32&gt;0,"energetsko upravljanje, ",""),IF(CH32&gt;0,"manjši investicijski in organizacijski ukrepi, ",""))</f>
        <v xml:space="preserve">razsvetljava, energetsko upravljanje, manjši investicijski in organizacijski ukrepi, </v>
      </c>
      <c r="CM32" s="9">
        <f>+CJ32*0.9</f>
        <v>5136.7050000000008</v>
      </c>
      <c r="CN32" s="9">
        <f>+CJ32*0.9</f>
        <v>5136.7050000000008</v>
      </c>
      <c r="CO32" s="9">
        <f>+CJ32*0.9</f>
        <v>5136.7050000000008</v>
      </c>
      <c r="CP32" s="69">
        <f>+IF(CI32-SUM(CM32:CO32)&lt;0,0,CI32-SUM(CM32:CO32))</f>
        <v>47453.384999999995</v>
      </c>
      <c r="CQ32" s="9">
        <f>+(BQ32*CE32*faktorji!$B$24)+(BQ32^0.5*CC32*4*4*0.66*faktorji!$B$22)+(BQ32^0.5*CD32*4*4*0.33*faktorji!$B$25)</f>
        <v>0</v>
      </c>
      <c r="CR32" s="3" t="str">
        <f t="shared" si="1"/>
        <v/>
      </c>
      <c r="CS32" s="9">
        <f>+BQ32*('MOL_tabela rezultatov'!CH32*faktorji!$B$26)+faktorji!$B$27*CG32</f>
        <v>22078.5</v>
      </c>
      <c r="CT32" s="3" t="str">
        <f t="shared" si="0"/>
        <v xml:space="preserve">energetsko upravljanje, manjši investicijski in organizacijski ukrepi, </v>
      </c>
      <c r="CU32" s="9"/>
      <c r="CV32" s="9"/>
      <c r="CW32" s="9"/>
      <c r="CX32" s="69"/>
    </row>
    <row r="33" spans="1:102" s="10" customFormat="1" ht="18" hidden="1" customHeight="1">
      <c r="A33" s="54" t="s">
        <v>568</v>
      </c>
      <c r="B33" s="3" t="s">
        <v>569</v>
      </c>
      <c r="C33" s="56"/>
      <c r="D33" s="56"/>
      <c r="E33" s="51" t="s">
        <v>1175</v>
      </c>
      <c r="F33" s="51"/>
      <c r="G33" s="51">
        <v>3</v>
      </c>
      <c r="H33" s="51"/>
      <c r="I33" s="51"/>
      <c r="J33" s="51">
        <v>7</v>
      </c>
      <c r="K33" s="37" t="s">
        <v>1242</v>
      </c>
      <c r="L33" s="50"/>
      <c r="M33" s="4" t="s">
        <v>6</v>
      </c>
      <c r="N33" s="25"/>
      <c r="O33" s="25"/>
      <c r="P33" s="25"/>
      <c r="Q33" s="25"/>
      <c r="R33" s="25"/>
      <c r="S33" s="25">
        <v>608.6253639274039</v>
      </c>
      <c r="T33" s="25">
        <v>106.46131275066753</v>
      </c>
      <c r="U33" s="25">
        <v>106.46131275066753</v>
      </c>
      <c r="V33" s="30">
        <v>24.718205885922341</v>
      </c>
      <c r="W33" s="30">
        <v>141.31074156661342</v>
      </c>
      <c r="X33" s="31"/>
      <c r="Y33" s="31"/>
      <c r="Z33" s="31"/>
      <c r="AA33" s="31"/>
      <c r="AB33" s="31"/>
      <c r="AC33" s="31"/>
      <c r="AD33" s="31"/>
      <c r="AE33" s="32"/>
      <c r="AF33" s="16"/>
      <c r="AG33" s="3"/>
      <c r="AH33" s="4"/>
      <c r="AI33" s="6">
        <v>4307</v>
      </c>
      <c r="AJ33" s="38">
        <v>100</v>
      </c>
      <c r="AK33" s="3"/>
      <c r="AL33" s="1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42"/>
      <c r="BH33" s="42">
        <v>29.4</v>
      </c>
      <c r="BI33" s="42"/>
      <c r="BJ33" s="42"/>
      <c r="BK33" s="44">
        <v>29.4</v>
      </c>
      <c r="BL33" s="44">
        <v>59.0625</v>
      </c>
      <c r="BM33" s="44">
        <f>+BK33+BL33</f>
        <v>88.462500000000006</v>
      </c>
      <c r="BN33" s="47">
        <v>11.2</v>
      </c>
      <c r="BO33" s="47">
        <v>22.5</v>
      </c>
      <c r="BP33" s="45">
        <v>33.700000000000003</v>
      </c>
      <c r="BQ33" s="9">
        <v>2625</v>
      </c>
      <c r="BR33" s="4" t="s">
        <v>1059</v>
      </c>
      <c r="BS33" s="4">
        <v>2012</v>
      </c>
      <c r="BT33" s="4" t="s">
        <v>872</v>
      </c>
      <c r="BU33" s="4"/>
      <c r="BV33" s="4" t="s">
        <v>1042</v>
      </c>
      <c r="BW33" s="4" t="s">
        <v>874</v>
      </c>
      <c r="BX33" s="4"/>
      <c r="BY33" s="9">
        <f>+INT(BK33*faktorji!$B$5)</f>
        <v>2793</v>
      </c>
      <c r="BZ33" s="9">
        <f>+INT(BL33*faktorji!$B$4)</f>
        <v>9745</v>
      </c>
      <c r="CA33" s="4"/>
      <c r="CB33" s="4">
        <v>0</v>
      </c>
      <c r="CC33" s="4">
        <v>1</v>
      </c>
      <c r="CD33" s="4">
        <v>0.5</v>
      </c>
      <c r="CE33" s="4">
        <v>0</v>
      </c>
      <c r="CF33" s="4">
        <v>0</v>
      </c>
      <c r="CG33" s="4">
        <v>1</v>
      </c>
      <c r="CH33" s="4">
        <v>1</v>
      </c>
      <c r="CI33" s="9">
        <f>+BQ33*(CB33*faktorji!$B$21+'MOL_tabela rezultatov'!CF213*faktorji!$B$23+'MOL_tabela rezultatov'!CH213*faktorji!$B$26)+faktorji!$B$27*CG33</f>
        <v>61312.5</v>
      </c>
      <c r="CJ33" s="9">
        <f>+(BZ33*CF33*faktorji!$B$18)+(CG33*faktorji!$B$17*('MOL_tabela rezultatov'!BY213+'MOL_tabela rezultatov'!BZ213))+('MOL_tabela rezultatov'!CH213*faktorji!$B$16*'MOL_tabela rezultatov'!BY213)+('MOL_tabela rezultatov'!CB213*faktorji!$B$12*'MOL_tabela rezultatov'!BY213)</f>
        <v>4315.1000000000004</v>
      </c>
      <c r="CK33" s="66">
        <f>+CI33/CJ33</f>
        <v>14.208824824453661</v>
      </c>
      <c r="CL33" s="3" t="str">
        <f>CONCATENATE(IF(CB33&gt;0,"kotlovnica/toplotna postaja, ",""),IF(CF33&gt;0,"razsvetljava, ",""),IF(CG33&gt;0,"energetsko upravljanje, ",""),IF(CH33&gt;0,"manjši investicijski in organizacijski ukrepi, ",""))</f>
        <v xml:space="preserve">energetsko upravljanje, manjši investicijski in organizacijski ukrepi, </v>
      </c>
      <c r="CM33" s="9">
        <f>+CJ33*0.9</f>
        <v>3883.5900000000006</v>
      </c>
      <c r="CN33" s="9">
        <f>+CJ33*0.9</f>
        <v>3883.5900000000006</v>
      </c>
      <c r="CO33" s="9">
        <f>+CJ33*0.9</f>
        <v>3883.5900000000006</v>
      </c>
      <c r="CP33" s="69">
        <f>+IF(CI33-SUM(CM33:CO33)&lt;0,0,CI33-SUM(CM33:CO33))</f>
        <v>49661.729999999996</v>
      </c>
      <c r="CQ33" s="9">
        <f>+(BQ33*CE33*faktorji!$B$24)+(BQ33^0.5*CC33*4*4*0.66*faktorji!$B$22)+(BQ33^0.5*CD33*4*4*0.33*faktorji!$B$25)</f>
        <v>71687.667558653353</v>
      </c>
      <c r="CR33" s="3" t="str">
        <f t="shared" si="1"/>
        <v xml:space="preserve">izolacija ovoja, stavbno pohištvo, </v>
      </c>
      <c r="CS33" s="9">
        <f>+BQ33*('MOL_tabela rezultatov'!CH33*faktorji!$B$26)+faktorji!$B$27*CG33</f>
        <v>21937.5</v>
      </c>
      <c r="CT33" s="3" t="str">
        <f t="shared" si="0"/>
        <v xml:space="preserve">energetsko upravljanje, manjši investicijski in organizacijski ukrepi, </v>
      </c>
      <c r="CU33" s="9">
        <f>+CS33/4</f>
        <v>5484.375</v>
      </c>
      <c r="CV33" s="9">
        <f>+CU33</f>
        <v>5484.375</v>
      </c>
      <c r="CW33" s="9">
        <f>+CV33</f>
        <v>5484.375</v>
      </c>
      <c r="CX33" s="69">
        <f>+CW33</f>
        <v>5484.375</v>
      </c>
    </row>
    <row r="34" spans="1:102" s="10" customFormat="1" ht="18" hidden="1" customHeight="1">
      <c r="A34" s="54" t="s">
        <v>246</v>
      </c>
      <c r="B34" s="3" t="s">
        <v>247</v>
      </c>
      <c r="C34" s="56"/>
      <c r="D34" s="56"/>
      <c r="E34" s="51" t="s">
        <v>1173</v>
      </c>
      <c r="F34" s="51"/>
      <c r="G34" s="51">
        <v>2</v>
      </c>
      <c r="H34" s="51"/>
      <c r="I34" s="51"/>
      <c r="J34" s="51">
        <v>3</v>
      </c>
      <c r="K34" s="37" t="s">
        <v>1243</v>
      </c>
      <c r="L34" s="50"/>
      <c r="M34" s="4" t="s">
        <v>5</v>
      </c>
      <c r="N34" s="25">
        <v>868.2</v>
      </c>
      <c r="O34" s="25"/>
      <c r="P34" s="25"/>
      <c r="Q34" s="25"/>
      <c r="R34" s="25"/>
      <c r="S34" s="25"/>
      <c r="T34" s="25">
        <v>211.66733463041709</v>
      </c>
      <c r="U34" s="25">
        <v>1079.8673346304172</v>
      </c>
      <c r="V34" s="30">
        <v>26.458416828802136</v>
      </c>
      <c r="W34" s="30">
        <v>108.52500000000001</v>
      </c>
      <c r="X34" s="31"/>
      <c r="Y34" s="31"/>
      <c r="Z34" s="31"/>
      <c r="AA34" s="31"/>
      <c r="AB34" s="31"/>
      <c r="AC34" s="31">
        <v>454.13</v>
      </c>
      <c r="AD34" s="31"/>
      <c r="AE34" s="32"/>
      <c r="AF34" s="1"/>
      <c r="AG34" s="4"/>
      <c r="AH34" s="4"/>
      <c r="AI34" s="6">
        <v>8000</v>
      </c>
      <c r="AJ34" s="38"/>
      <c r="AK34" s="3"/>
      <c r="AL34" s="1"/>
      <c r="AM34" s="37">
        <v>800.3</v>
      </c>
      <c r="AN34" s="37">
        <v>774</v>
      </c>
      <c r="AO34" s="37">
        <v>670.61</v>
      </c>
      <c r="AP34" s="37">
        <v>703.9</v>
      </c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>
        <v>396.9</v>
      </c>
      <c r="BD34" s="37">
        <v>418.9</v>
      </c>
      <c r="BE34" s="37">
        <v>331.9</v>
      </c>
      <c r="BF34" s="37">
        <v>295.5</v>
      </c>
      <c r="BG34" s="42">
        <v>737.20249999999999</v>
      </c>
      <c r="BH34" s="42"/>
      <c r="BI34" s="42"/>
      <c r="BJ34" s="42"/>
      <c r="BK34" s="44">
        <v>737.20249999999999</v>
      </c>
      <c r="BL34" s="44">
        <v>360.79999999999995</v>
      </c>
      <c r="BM34" s="44">
        <f>+BK34+BL34</f>
        <v>1098.0025000000001</v>
      </c>
      <c r="BN34" s="47">
        <v>98.110527016236361</v>
      </c>
      <c r="BO34" s="47">
        <v>48.017034868245936</v>
      </c>
      <c r="BP34" s="45">
        <v>146.1275618844823</v>
      </c>
      <c r="BQ34" s="9">
        <v>7514</v>
      </c>
      <c r="BR34" s="4">
        <v>1347</v>
      </c>
      <c r="BS34" s="4"/>
      <c r="BT34" s="4" t="s">
        <v>1145</v>
      </c>
      <c r="BU34" s="4" t="s">
        <v>136</v>
      </c>
      <c r="BV34" s="4" t="s">
        <v>1146</v>
      </c>
      <c r="BW34" s="4" t="s">
        <v>1147</v>
      </c>
      <c r="BX34" s="4"/>
      <c r="BY34" s="9">
        <f>+INT(BK34*faktorji!$B$3)</f>
        <v>47918</v>
      </c>
      <c r="BZ34" s="9">
        <f>+INT(BL34*faktorji!$B$4)</f>
        <v>59532</v>
      </c>
      <c r="CA34" s="72" t="s">
        <v>1315</v>
      </c>
      <c r="CB34" s="4">
        <v>0</v>
      </c>
      <c r="CC34" s="4">
        <v>0</v>
      </c>
      <c r="CD34" s="4">
        <v>0</v>
      </c>
      <c r="CE34" s="4">
        <v>0</v>
      </c>
      <c r="CF34" s="4">
        <v>1</v>
      </c>
      <c r="CG34" s="4">
        <v>1</v>
      </c>
      <c r="CH34" s="4">
        <v>1</v>
      </c>
      <c r="CI34" s="9" t="e">
        <f>+BQ34*(CB34*faktorji!$B$21+'MOL_tabela rezultatov'!#REF!*faktorji!$B$23+'MOL_tabela rezultatov'!#REF!*faktorji!$B$26)+faktorji!$B$27*CG34</f>
        <v>#REF!</v>
      </c>
      <c r="CJ34" s="9" t="e">
        <f>+(BZ34*CF34*faktorji!$B$18)+(CG34*faktorji!$B$17*('MOL_tabela rezultatov'!#REF!+'MOL_tabela rezultatov'!#REF!))+('MOL_tabela rezultatov'!#REF!*faktorji!$B$16*'MOL_tabela rezultatov'!#REF!)+('MOL_tabela rezultatov'!#REF!*faktorji!$B$12*'MOL_tabela rezultatov'!#REF!)</f>
        <v>#REF!</v>
      </c>
      <c r="CK34" s="66" t="e">
        <f>+CI34/CJ34</f>
        <v>#REF!</v>
      </c>
      <c r="CL34" s="3" t="str">
        <f>CONCATENATE(IF(CB34&gt;0,"kotlovnica/toplotna postaja, ",""),IF(CF34&gt;0,"razsvetljava, ",""),IF(CG34&gt;0,"energetsko upravljanje, ",""),IF(CH34&gt;0,"manjši investicijski in organizacijski ukrepi, ",""))</f>
        <v xml:space="preserve">razsvetljava, energetsko upravljanje, manjši investicijski in organizacijski ukrepi, </v>
      </c>
      <c r="CM34" s="9" t="e">
        <f>+CJ34*0.9</f>
        <v>#REF!</v>
      </c>
      <c r="CN34" s="9" t="e">
        <f>+CJ34*0.9</f>
        <v>#REF!</v>
      </c>
      <c r="CO34" s="9" t="e">
        <f>+CJ34*0.9</f>
        <v>#REF!</v>
      </c>
      <c r="CP34" s="69" t="e">
        <f>+IF(CI34-SUM(CM34:CO34)&lt;0,0,CI34-SUM(CM34:CO34))</f>
        <v>#REF!</v>
      </c>
      <c r="CQ34" s="9">
        <f>+(BQ34*CE34*faktorji!$B$24)+(BQ34^0.5*CC34*4*4*0.66*faktorji!$B$22)+(BQ34^0.5*CD34*4*4*0.33*faktorji!$B$25)</f>
        <v>0</v>
      </c>
      <c r="CR34" s="3" t="str">
        <f t="shared" si="1"/>
        <v/>
      </c>
      <c r="CS34" s="9">
        <f>+BQ34*('MOL_tabela rezultatov'!CH34*faktorji!$B$26)+faktorji!$B$27*CG34</f>
        <v>29271</v>
      </c>
      <c r="CT34" s="3" t="str">
        <f t="shared" si="0"/>
        <v xml:space="preserve">energetsko upravljanje, manjši investicijski in organizacijski ukrepi, </v>
      </c>
      <c r="CU34" s="9">
        <f t="shared" ref="CU34:CU90" si="2">+CS34/4</f>
        <v>7317.75</v>
      </c>
      <c r="CV34" s="9">
        <f t="shared" ref="CV34:CX34" si="3">+CU34</f>
        <v>7317.75</v>
      </c>
      <c r="CW34" s="9">
        <f t="shared" si="3"/>
        <v>7317.75</v>
      </c>
      <c r="CX34" s="69">
        <f t="shared" si="3"/>
        <v>7317.75</v>
      </c>
    </row>
    <row r="35" spans="1:102" s="10" customFormat="1" ht="18" hidden="1" customHeight="1">
      <c r="A35" s="53" t="s">
        <v>563</v>
      </c>
      <c r="B35" s="2" t="s">
        <v>564</v>
      </c>
      <c r="C35" s="57"/>
      <c r="D35" s="57"/>
      <c r="E35" s="51" t="s">
        <v>1175</v>
      </c>
      <c r="F35" s="51"/>
      <c r="G35" s="51">
        <v>3</v>
      </c>
      <c r="H35" s="51"/>
      <c r="I35" s="51"/>
      <c r="J35" s="51">
        <v>7</v>
      </c>
      <c r="K35" s="37" t="s">
        <v>1244</v>
      </c>
      <c r="L35" s="50"/>
      <c r="M35" s="4" t="s">
        <v>5</v>
      </c>
      <c r="N35" s="25">
        <v>830</v>
      </c>
      <c r="O35" s="25"/>
      <c r="P35" s="25"/>
      <c r="Q35" s="25"/>
      <c r="R35" s="25"/>
      <c r="S35" s="25"/>
      <c r="T35" s="25">
        <v>245.7978393296118</v>
      </c>
      <c r="U35" s="25">
        <v>1075.7978393296119</v>
      </c>
      <c r="V35" s="30">
        <v>24.718205885922345</v>
      </c>
      <c r="W35" s="30">
        <v>83.467417538213994</v>
      </c>
      <c r="X35" s="31"/>
      <c r="Y35" s="31"/>
      <c r="Z35" s="31"/>
      <c r="AA35" s="31"/>
      <c r="AB35" s="31"/>
      <c r="AC35" s="31"/>
      <c r="AD35" s="31"/>
      <c r="AE35" s="32"/>
      <c r="AF35" s="16"/>
      <c r="AG35" s="3"/>
      <c r="AH35" s="4"/>
      <c r="AI35" s="6">
        <v>9944</v>
      </c>
      <c r="AJ35" s="38">
        <v>100</v>
      </c>
      <c r="AK35" s="3"/>
      <c r="AL35" s="1" t="s">
        <v>565</v>
      </c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42">
        <v>388.7</v>
      </c>
      <c r="BH35" s="42"/>
      <c r="BI35" s="42"/>
      <c r="BJ35" s="42"/>
      <c r="BK35" s="44">
        <v>388.7</v>
      </c>
      <c r="BL35" s="44">
        <v>223.74</v>
      </c>
      <c r="BM35" s="44">
        <f>+BK35+BL35</f>
        <v>612.44000000000005</v>
      </c>
      <c r="BN35" s="47">
        <v>39.088897827835879</v>
      </c>
      <c r="BO35" s="47">
        <v>22.5</v>
      </c>
      <c r="BP35" s="45">
        <v>61.588897827835879</v>
      </c>
      <c r="BQ35" s="9">
        <v>9944</v>
      </c>
      <c r="BR35" s="4"/>
      <c r="BS35" s="4"/>
      <c r="BT35" s="4"/>
      <c r="BU35" s="4"/>
      <c r="BV35" s="4"/>
      <c r="BW35" s="4"/>
      <c r="BX35" s="4"/>
      <c r="BY35" s="9">
        <f>+INT(BK35*faktorji!$B$3)</f>
        <v>25265</v>
      </c>
      <c r="BZ35" s="9">
        <f>+INT(BL35*faktorji!$B$4)</f>
        <v>36917</v>
      </c>
      <c r="CA35" s="4"/>
      <c r="CB35" s="4">
        <v>0</v>
      </c>
      <c r="CC35" s="4">
        <v>0</v>
      </c>
      <c r="CD35" s="4">
        <v>0</v>
      </c>
      <c r="CE35" s="4">
        <v>0</v>
      </c>
      <c r="CF35" s="4">
        <v>0</v>
      </c>
      <c r="CG35" s="4">
        <v>1</v>
      </c>
      <c r="CH35" s="4">
        <v>1</v>
      </c>
      <c r="CI35" s="9">
        <f>+BQ35*(CB35*faktorji!$B$21+'MOL_tabela rezultatov'!CF211*faktorji!$B$23+'MOL_tabela rezultatov'!CH211*faktorji!$B$26)+faktorji!$B$27*CG35</f>
        <v>182076</v>
      </c>
      <c r="CJ35" s="9">
        <f>+(BZ35*CF35*faktorji!$B$18)+(CG35*faktorji!$B$17*('MOL_tabela rezultatov'!BY211+'MOL_tabela rezultatov'!BZ211))+('MOL_tabela rezultatov'!CH211*faktorji!$B$16*'MOL_tabela rezultatov'!BY211)+('MOL_tabela rezultatov'!CB211*faktorji!$B$12*'MOL_tabela rezultatov'!BY211)</f>
        <v>5074</v>
      </c>
      <c r="CK35" s="66">
        <f>+CI35/CJ35</f>
        <v>35.884115096570753</v>
      </c>
      <c r="CL35" s="3" t="str">
        <f>CONCATENATE(IF(CB35&gt;0,"kotlovnica/toplotna postaja, ",""),IF(CF35&gt;0,"razsvetljava, ",""),IF(CG35&gt;0,"energetsko upravljanje, ",""),IF(CH35&gt;0,"manjši investicijski in organizacijski ukrepi, ",""))</f>
        <v xml:space="preserve">energetsko upravljanje, manjši investicijski in organizacijski ukrepi, </v>
      </c>
      <c r="CM35" s="9">
        <f>+CJ35*0.9</f>
        <v>4566.6000000000004</v>
      </c>
      <c r="CN35" s="9">
        <f>+CJ35*0.9</f>
        <v>4566.6000000000004</v>
      </c>
      <c r="CO35" s="9">
        <f>+CJ35*0.9</f>
        <v>4566.6000000000004</v>
      </c>
      <c r="CP35" s="69">
        <f>+IF(CI35-SUM(CM35:CO35)&lt;0,0,CI35-SUM(CM35:CO35))</f>
        <v>168376.2</v>
      </c>
      <c r="CQ35" s="9">
        <f>+(BQ35*CE35*faktorji!$B$24)+(BQ35^0.5*CC35*4*4*0.66*faktorji!$B$22)+(BQ35^0.5*CD35*4*4*0.33*faktorji!$B$25)</f>
        <v>0</v>
      </c>
      <c r="CR35" s="3" t="str">
        <f t="shared" si="1"/>
        <v/>
      </c>
      <c r="CS35" s="9">
        <f>+BQ35*('MOL_tabela rezultatov'!CH35*faktorji!$B$26)+faktorji!$B$27*CG35</f>
        <v>32916</v>
      </c>
      <c r="CT35" s="3" t="str">
        <f t="shared" si="0"/>
        <v xml:space="preserve">energetsko upravljanje, manjši investicijski in organizacijski ukrepi, </v>
      </c>
      <c r="CU35" s="9">
        <f t="shared" si="2"/>
        <v>8229</v>
      </c>
      <c r="CV35" s="9">
        <f t="shared" ref="CV35:CX35" si="4">+CU35</f>
        <v>8229</v>
      </c>
      <c r="CW35" s="9">
        <f t="shared" si="4"/>
        <v>8229</v>
      </c>
      <c r="CX35" s="69">
        <f t="shared" si="4"/>
        <v>8229</v>
      </c>
    </row>
    <row r="36" spans="1:102" s="10" customFormat="1" ht="18" hidden="1" customHeight="1">
      <c r="A36" s="53" t="s">
        <v>292</v>
      </c>
      <c r="B36" s="2" t="s">
        <v>294</v>
      </c>
      <c r="C36" s="57"/>
      <c r="D36" s="57"/>
      <c r="E36" s="51" t="s">
        <v>1174</v>
      </c>
      <c r="F36" s="51"/>
      <c r="G36" s="51">
        <v>4</v>
      </c>
      <c r="H36" s="51"/>
      <c r="I36" s="51"/>
      <c r="J36" s="51">
        <v>7</v>
      </c>
      <c r="K36" s="37" t="s">
        <v>1241</v>
      </c>
      <c r="L36" s="50"/>
      <c r="M36" s="4" t="s">
        <v>7</v>
      </c>
      <c r="N36" s="25"/>
      <c r="O36" s="25"/>
      <c r="P36" s="25">
        <v>100.81</v>
      </c>
      <c r="Q36" s="25"/>
      <c r="R36" s="25"/>
      <c r="S36" s="25"/>
      <c r="T36" s="25">
        <v>42.87</v>
      </c>
      <c r="U36" s="25">
        <v>143.68</v>
      </c>
      <c r="V36" s="30">
        <v>41.824390243902435</v>
      </c>
      <c r="W36" s="30">
        <v>98.351219512195115</v>
      </c>
      <c r="X36" s="31"/>
      <c r="Y36" s="31"/>
      <c r="Z36" s="31">
        <v>141.19999999999999</v>
      </c>
      <c r="AA36" s="31"/>
      <c r="AB36" s="31"/>
      <c r="AC36" s="31">
        <v>44.46</v>
      </c>
      <c r="AD36" s="31"/>
      <c r="AE36" s="32">
        <v>137.7560975609756</v>
      </c>
      <c r="AF36" s="1"/>
      <c r="AG36" s="4"/>
      <c r="AH36" s="4"/>
      <c r="AI36" s="6">
        <v>1025</v>
      </c>
      <c r="AJ36" s="38">
        <v>100</v>
      </c>
      <c r="AK36" s="3"/>
      <c r="AL36" s="1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42"/>
      <c r="BH36" s="42"/>
      <c r="BI36" s="42">
        <v>100.81</v>
      </c>
      <c r="BJ36" s="42"/>
      <c r="BK36" s="44">
        <v>100.81</v>
      </c>
      <c r="BL36" s="44">
        <v>42.87</v>
      </c>
      <c r="BM36" s="44">
        <f>+BK36+BL36</f>
        <v>143.68</v>
      </c>
      <c r="BN36" s="47">
        <v>98.351219512195115</v>
      </c>
      <c r="BO36" s="47">
        <v>41.824390243902442</v>
      </c>
      <c r="BP36" s="45">
        <v>140.17560975609757</v>
      </c>
      <c r="BQ36" s="6">
        <v>1025</v>
      </c>
      <c r="BR36" s="4"/>
      <c r="BS36" s="4"/>
      <c r="BT36" s="4"/>
      <c r="BU36" s="4"/>
      <c r="BV36" s="4"/>
      <c r="BW36" s="4"/>
      <c r="BX36" s="4"/>
      <c r="BY36" s="9">
        <f>+INT(BK36*faktorji!$B$6)</f>
        <v>12601</v>
      </c>
      <c r="BZ36" s="9">
        <f>+INT(BL36*faktorji!$B$4)</f>
        <v>7073</v>
      </c>
      <c r="CA36" s="4"/>
      <c r="CB36" s="4">
        <v>0</v>
      </c>
      <c r="CC36" s="4">
        <v>0</v>
      </c>
      <c r="CD36" s="4">
        <v>0</v>
      </c>
      <c r="CE36" s="4">
        <v>0</v>
      </c>
      <c r="CF36" s="4">
        <v>1</v>
      </c>
      <c r="CG36" s="4">
        <v>1</v>
      </c>
      <c r="CH36" s="4">
        <v>1</v>
      </c>
      <c r="CI36" s="9">
        <f>+BQ36*(CB36*faktorji!$B$21+'MOL_tabela rezultatov'!CF113*faktorji!$B$23+'MOL_tabela rezultatov'!CH113*faktorji!$B$26)+faktorji!$B$27*CG36</f>
        <v>19537.5</v>
      </c>
      <c r="CJ36" s="9">
        <f>+(BZ36*CF36*faktorji!$B$18)+(CG36*faktorji!$B$17*('MOL_tabela rezultatov'!BY113+'MOL_tabela rezultatov'!BZ113))+('MOL_tabela rezultatov'!CH113*faktorji!$B$16*'MOL_tabela rezultatov'!BY113)+('MOL_tabela rezultatov'!CB113*faktorji!$B$12*'MOL_tabela rezultatov'!BY113)</f>
        <v>7145.4500000000007</v>
      </c>
      <c r="CK36" s="66">
        <f>+CI36/CJ36</f>
        <v>2.7342574645403714</v>
      </c>
      <c r="CL36" s="3" t="str">
        <f>CONCATENATE(IF(CB36&gt;0,"kotlovnica/toplotna postaja, ",""),IF(CF36&gt;0,"razsvetljava, ",""),IF(CG36&gt;0,"energetsko upravljanje, ",""),IF(CH36&gt;0,"manjši investicijski in organizacijski ukrepi, ",""))</f>
        <v xml:space="preserve">razsvetljava, energetsko upravljanje, manjši investicijski in organizacijski ukrepi, </v>
      </c>
      <c r="CM36" s="9">
        <f>+CJ36*0.9</f>
        <v>6430.9050000000007</v>
      </c>
      <c r="CN36" s="9">
        <f>+CJ36*0.9</f>
        <v>6430.9050000000007</v>
      </c>
      <c r="CO36" s="9">
        <f>+CJ36*0.9</f>
        <v>6430.9050000000007</v>
      </c>
      <c r="CP36" s="69">
        <f>+IF(CI36-SUM(CM36:CO36)&lt;0,0,CI36-SUM(CM36:CO36))</f>
        <v>244.78499999999622</v>
      </c>
      <c r="CQ36" s="9">
        <f>+(BQ36*CE36*faktorji!$B$24)+(BQ36^0.5*CC36*4*4*0.66*faktorji!$B$22)+(BQ36^0.5*CD36*4*4*0.33*faktorji!$B$25)</f>
        <v>0</v>
      </c>
      <c r="CR36" s="3" t="str">
        <f t="shared" si="1"/>
        <v/>
      </c>
      <c r="CS36" s="9">
        <f>+BQ36*('MOL_tabela rezultatov'!CH36*faktorji!$B$26)+faktorji!$B$27*CG36</f>
        <v>19537.5</v>
      </c>
      <c r="CT36" s="3" t="str">
        <f t="shared" si="0"/>
        <v xml:space="preserve">energetsko upravljanje, manjši investicijski in organizacijski ukrepi, </v>
      </c>
      <c r="CU36" s="9">
        <f t="shared" si="2"/>
        <v>4884.375</v>
      </c>
      <c r="CV36" s="9">
        <f t="shared" ref="CV36:CX36" si="5">+CU36</f>
        <v>4884.375</v>
      </c>
      <c r="CW36" s="9">
        <f t="shared" si="5"/>
        <v>4884.375</v>
      </c>
      <c r="CX36" s="69">
        <f t="shared" si="5"/>
        <v>4884.375</v>
      </c>
    </row>
    <row r="37" spans="1:102" s="10" customFormat="1" ht="18" hidden="1" customHeight="1">
      <c r="A37" s="53" t="s">
        <v>248</v>
      </c>
      <c r="B37" s="2" t="s">
        <v>249</v>
      </c>
      <c r="C37" s="57"/>
      <c r="D37" s="57"/>
      <c r="E37" s="51" t="s">
        <v>1173</v>
      </c>
      <c r="F37" s="51"/>
      <c r="G37" s="51">
        <v>3</v>
      </c>
      <c r="H37" s="51"/>
      <c r="I37" s="51"/>
      <c r="J37" s="51">
        <v>3</v>
      </c>
      <c r="K37" s="37" t="s">
        <v>1241</v>
      </c>
      <c r="L37" s="50"/>
      <c r="M37" s="4" t="s">
        <v>5</v>
      </c>
      <c r="N37" s="25">
        <v>294.61</v>
      </c>
      <c r="O37" s="25"/>
      <c r="P37" s="25"/>
      <c r="Q37" s="25"/>
      <c r="R37" s="25"/>
      <c r="S37" s="25"/>
      <c r="T37" s="25">
        <v>84.83</v>
      </c>
      <c r="U37" s="25">
        <v>379.44</v>
      </c>
      <c r="V37" s="30">
        <v>37.535398230088497</v>
      </c>
      <c r="W37" s="30">
        <v>130.35840707964601</v>
      </c>
      <c r="X37" s="31"/>
      <c r="Y37" s="31"/>
      <c r="Z37" s="31"/>
      <c r="AA37" s="31"/>
      <c r="AB37" s="31"/>
      <c r="AC37" s="31">
        <v>99.519000000000005</v>
      </c>
      <c r="AD37" s="31"/>
      <c r="AE37" s="32">
        <v>0</v>
      </c>
      <c r="AF37" s="1"/>
      <c r="AG37" s="4"/>
      <c r="AH37" s="4"/>
      <c r="AI37" s="6">
        <v>2260</v>
      </c>
      <c r="AJ37" s="38">
        <v>100</v>
      </c>
      <c r="AK37" s="3"/>
      <c r="AL37" s="1" t="s">
        <v>250</v>
      </c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42">
        <v>294.61</v>
      </c>
      <c r="BH37" s="42"/>
      <c r="BI37" s="42"/>
      <c r="BJ37" s="42"/>
      <c r="BK37" s="44">
        <v>294.61</v>
      </c>
      <c r="BL37" s="44">
        <v>84.83</v>
      </c>
      <c r="BM37" s="44">
        <f>+BK37+BL37</f>
        <v>379.44</v>
      </c>
      <c r="BN37" s="47">
        <v>130.35840707964601</v>
      </c>
      <c r="BO37" s="47">
        <v>37.535398230088497</v>
      </c>
      <c r="BP37" s="45">
        <v>167.89380530973452</v>
      </c>
      <c r="BQ37" s="9">
        <v>2260</v>
      </c>
      <c r="BR37" s="4"/>
      <c r="BS37" s="4"/>
      <c r="BT37" s="4"/>
      <c r="BU37" s="4"/>
      <c r="BV37" s="4"/>
      <c r="BW37" s="4"/>
      <c r="BX37" s="4"/>
      <c r="BY37" s="9">
        <f>+INT(BK37*faktorji!$B$3)</f>
        <v>19149</v>
      </c>
      <c r="BZ37" s="9">
        <f>+INT(BL37*faktorji!$B$4)</f>
        <v>13996</v>
      </c>
      <c r="CA37" s="72" t="s">
        <v>1315</v>
      </c>
      <c r="CB37" s="4">
        <v>0</v>
      </c>
      <c r="CC37" s="4">
        <v>0</v>
      </c>
      <c r="CD37" s="4">
        <v>0</v>
      </c>
      <c r="CE37" s="4">
        <v>0</v>
      </c>
      <c r="CF37" s="4">
        <v>1</v>
      </c>
      <c r="CG37" s="4">
        <v>1</v>
      </c>
      <c r="CH37" s="4">
        <v>1</v>
      </c>
      <c r="CI37" s="9">
        <f>+BQ37*(CB37*faktorji!$B$21+'MOL_tabela rezultatov'!CF88*faktorji!$B$23+'MOL_tabela rezultatov'!CH88*faktorji!$B$26)+faktorji!$B$27*CG37</f>
        <v>55290</v>
      </c>
      <c r="CJ37" s="9">
        <f>+(BZ37*CF37*faktorji!$B$18)+(CG37*faktorji!$B$17*('MOL_tabela rezultatov'!BY88+'MOL_tabela rezultatov'!BZ88))+('MOL_tabela rezultatov'!CH88*faktorji!$B$16*'MOL_tabela rezultatov'!BY88)+('MOL_tabela rezultatov'!CB88*faktorji!$B$12*'MOL_tabela rezultatov'!BY88)</f>
        <v>2208.3000000000002</v>
      </c>
      <c r="CK37" s="66">
        <f>+CI37/CJ37</f>
        <v>25.037359054476291</v>
      </c>
      <c r="CL37" s="3" t="str">
        <f>CONCATENATE(IF(CB37&gt;0,"kotlovnica/toplotna postaja, ",""),IF(CF37&gt;0,"razsvetljava, ",""),IF(CG37&gt;0,"energetsko upravljanje, ",""),IF(CH37&gt;0,"manjši investicijski in organizacijski ukrepi, ",""))</f>
        <v xml:space="preserve">razsvetljava, energetsko upravljanje, manjši investicijski in organizacijski ukrepi, </v>
      </c>
      <c r="CM37" s="9">
        <f>+CJ37*0.9</f>
        <v>1987.4700000000003</v>
      </c>
      <c r="CN37" s="9">
        <f>+CJ37*0.9</f>
        <v>1987.4700000000003</v>
      </c>
      <c r="CO37" s="9">
        <f>+CJ37*0.9</f>
        <v>1987.4700000000003</v>
      </c>
      <c r="CP37" s="69">
        <f>+IF(CI37-SUM(CM37:CO37)&lt;0,0,CI37-SUM(CM37:CO37))</f>
        <v>49327.59</v>
      </c>
      <c r="CQ37" s="9">
        <f>+(BQ37*CE37*faktorji!$B$24)+(BQ37^0.5*CC37*4*4*0.66*faktorji!$B$22)+(BQ37^0.5*CD37*4*4*0.33*faktorji!$B$25)</f>
        <v>0</v>
      </c>
      <c r="CR37" s="3" t="str">
        <f t="shared" si="1"/>
        <v/>
      </c>
      <c r="CS37" s="9">
        <f>+BQ37*('MOL_tabela rezultatov'!CH37*faktorji!$B$26)+faktorji!$B$27*CG37</f>
        <v>21390</v>
      </c>
      <c r="CT37" s="3" t="str">
        <f t="shared" si="0"/>
        <v xml:space="preserve">energetsko upravljanje, manjši investicijski in organizacijski ukrepi, </v>
      </c>
      <c r="CU37" s="9">
        <f t="shared" si="2"/>
        <v>5347.5</v>
      </c>
      <c r="CV37" s="9">
        <f t="shared" ref="CV37:CX37" si="6">+CU37</f>
        <v>5347.5</v>
      </c>
      <c r="CW37" s="9">
        <f t="shared" si="6"/>
        <v>5347.5</v>
      </c>
      <c r="CX37" s="69">
        <f t="shared" si="6"/>
        <v>5347.5</v>
      </c>
    </row>
    <row r="38" spans="1:102" s="10" customFormat="1" ht="18" hidden="1" customHeight="1">
      <c r="A38" s="54" t="s">
        <v>1389</v>
      </c>
      <c r="B38" s="3" t="s">
        <v>102</v>
      </c>
      <c r="C38" s="56" t="s">
        <v>1371</v>
      </c>
      <c r="D38" s="56" t="s">
        <v>1372</v>
      </c>
      <c r="E38" s="51" t="s">
        <v>1167</v>
      </c>
      <c r="F38" s="51"/>
      <c r="G38" s="51">
        <v>3</v>
      </c>
      <c r="H38" s="51"/>
      <c r="I38" s="51"/>
      <c r="J38" s="51">
        <v>7</v>
      </c>
      <c r="K38" s="37" t="s">
        <v>1243</v>
      </c>
      <c r="L38" s="50"/>
      <c r="M38" s="4" t="s">
        <v>5</v>
      </c>
      <c r="N38" s="25">
        <v>53.02</v>
      </c>
      <c r="O38" s="25"/>
      <c r="P38" s="25"/>
      <c r="Q38" s="25"/>
      <c r="R38" s="25"/>
      <c r="S38" s="25"/>
      <c r="T38" s="25">
        <v>28.5</v>
      </c>
      <c r="U38" s="25">
        <v>81.52000000000001</v>
      </c>
      <c r="V38" s="30">
        <v>78.512396694214871</v>
      </c>
      <c r="W38" s="30">
        <v>146.06060606060606</v>
      </c>
      <c r="X38" s="31">
        <v>46.27</v>
      </c>
      <c r="Y38" s="31"/>
      <c r="Z38" s="31"/>
      <c r="AA38" s="31"/>
      <c r="AB38" s="31"/>
      <c r="AC38" s="31">
        <v>28.22</v>
      </c>
      <c r="AD38" s="31"/>
      <c r="AE38" s="32">
        <v>127.46556473829202</v>
      </c>
      <c r="AF38" s="1">
        <v>75</v>
      </c>
      <c r="AG38" s="4"/>
      <c r="AH38" s="4">
        <v>1</v>
      </c>
      <c r="AI38" s="6">
        <v>363</v>
      </c>
      <c r="AJ38" s="38">
        <v>23</v>
      </c>
      <c r="AK38" s="34" t="s">
        <v>92</v>
      </c>
      <c r="AL38" s="1"/>
      <c r="AM38" s="37">
        <f>232.98+17.1</f>
        <v>250.07999999999998</v>
      </c>
      <c r="AN38" s="37">
        <f>234.1+15.2</f>
        <v>249.29999999999998</v>
      </c>
      <c r="AO38" s="37">
        <f>196.9+15.3</f>
        <v>212.20000000000002</v>
      </c>
      <c r="AP38" s="37">
        <f>220.6+16</f>
        <v>236.6</v>
      </c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>
        <v>24.6</v>
      </c>
      <c r="BD38" s="37">
        <v>26</v>
      </c>
      <c r="BE38" s="37">
        <v>22.5</v>
      </c>
      <c r="BF38" s="37">
        <v>24.9</v>
      </c>
      <c r="BG38" s="42">
        <v>54.520350000000008</v>
      </c>
      <c r="BH38" s="42"/>
      <c r="BI38" s="42"/>
      <c r="BJ38" s="42"/>
      <c r="BK38" s="44">
        <v>54.520350000000008</v>
      </c>
      <c r="BL38" s="44">
        <v>24.5</v>
      </c>
      <c r="BM38" s="44">
        <f>+BK38+BL38</f>
        <v>79.020350000000008</v>
      </c>
      <c r="BN38" s="47">
        <v>150.19380165289257</v>
      </c>
      <c r="BO38" s="47">
        <v>67.493112947658403</v>
      </c>
      <c r="BP38" s="45">
        <v>217.68691460055098</v>
      </c>
      <c r="BQ38" s="9">
        <v>363</v>
      </c>
      <c r="BR38" s="4">
        <v>328</v>
      </c>
      <c r="BS38" s="4"/>
      <c r="BT38" s="4" t="s">
        <v>872</v>
      </c>
      <c r="BU38" s="4"/>
      <c r="BV38" s="4"/>
      <c r="BW38" s="4"/>
      <c r="BX38" s="4"/>
      <c r="BY38" s="9">
        <f>+INT(BK38*faktorji!$B$3)</f>
        <v>3543</v>
      </c>
      <c r="BZ38" s="9">
        <f>+INT(BL38*faktorji!$B$4)</f>
        <v>4042</v>
      </c>
      <c r="CA38" s="4"/>
      <c r="CB38" s="4">
        <v>0</v>
      </c>
      <c r="CC38" s="4">
        <v>0</v>
      </c>
      <c r="CD38" s="4">
        <v>0</v>
      </c>
      <c r="CE38" s="4">
        <v>0</v>
      </c>
      <c r="CF38" s="4">
        <v>0</v>
      </c>
      <c r="CG38" s="4">
        <v>1</v>
      </c>
      <c r="CH38" s="4">
        <v>1</v>
      </c>
      <c r="CI38" s="9">
        <f>+BQ38*(CB38*faktorji!$B$21+'MOL_tabela rezultatov'!CF33*faktorji!$B$23+'MOL_tabela rezultatov'!CH33*faktorji!$B$26)+faktorji!$B$27*CG38</f>
        <v>18544.5</v>
      </c>
      <c r="CJ38" s="9">
        <f>+(BZ38*CF38*faktorji!$B$18)+(CG38*faktorji!$B$17*('MOL_tabela rezultatov'!BY33+'MOL_tabela rezultatov'!BZ33))+('MOL_tabela rezultatov'!CH33*faktorji!$B$16*'MOL_tabela rezultatov'!BY33)+('MOL_tabela rezultatov'!CB33*faktorji!$B$12*'MOL_tabela rezultatov'!BY33)</f>
        <v>1533.1000000000001</v>
      </c>
      <c r="CK38" s="66">
        <f>+CI38/CJ38</f>
        <v>12.096079838236252</v>
      </c>
      <c r="CL38" s="3" t="str">
        <f>CONCATENATE(IF(CB38&gt;0,"kotlovnica/toplotna postaja, ",""),IF(CF38&gt;0,"razsvetljava, ",""),IF(CG38&gt;0,"energetsko upravljanje, ",""),IF(CH38&gt;0,"manjši investicijski in organizacijski ukrepi, ",""))</f>
        <v xml:space="preserve">energetsko upravljanje, manjši investicijski in organizacijski ukrepi, </v>
      </c>
      <c r="CM38" s="9">
        <f>+CJ38*0.9</f>
        <v>1379.7900000000002</v>
      </c>
      <c r="CN38" s="9">
        <f>+CJ38*0.9</f>
        <v>1379.7900000000002</v>
      </c>
      <c r="CO38" s="9">
        <f>+CJ38*0.9</f>
        <v>1379.7900000000002</v>
      </c>
      <c r="CP38" s="69">
        <f>+IF(CI38-SUM(CM38:CO38)&lt;0,0,CI38-SUM(CM38:CO38))</f>
        <v>14405.13</v>
      </c>
      <c r="CQ38" s="9">
        <f>+(BQ38*CE38*faktorji!$B$24)+(BQ38^0.5*CC38*4*4*0.66*faktorji!$B$22)+(BQ38^0.5*CD38*4*4*0.33*faktorji!$B$25)</f>
        <v>0</v>
      </c>
      <c r="CR38" s="3" t="str">
        <f t="shared" si="1"/>
        <v/>
      </c>
      <c r="CS38" s="9">
        <f>+BQ38*('MOL_tabela rezultatov'!CH38*faktorji!$B$26)+faktorji!$B$27*CG38</f>
        <v>18544.5</v>
      </c>
      <c r="CT38" s="3" t="str">
        <f t="shared" si="0"/>
        <v xml:space="preserve">energetsko upravljanje, manjši investicijski in organizacijski ukrepi, </v>
      </c>
      <c r="CU38" s="9">
        <f t="shared" si="2"/>
        <v>4636.125</v>
      </c>
      <c r="CV38" s="9">
        <f t="shared" ref="CV38:CX38" si="7">+CU38</f>
        <v>4636.125</v>
      </c>
      <c r="CW38" s="9">
        <f t="shared" si="7"/>
        <v>4636.125</v>
      </c>
      <c r="CX38" s="69">
        <f t="shared" si="7"/>
        <v>4636.125</v>
      </c>
    </row>
    <row r="39" spans="1:102" s="10" customFormat="1" ht="18" hidden="1" customHeight="1">
      <c r="A39" s="53" t="s">
        <v>597</v>
      </c>
      <c r="B39" s="2" t="s">
        <v>598</v>
      </c>
      <c r="C39" s="57"/>
      <c r="D39" s="57"/>
      <c r="E39" s="51" t="s">
        <v>1176</v>
      </c>
      <c r="F39" s="51"/>
      <c r="G39" s="51" t="s">
        <v>1366</v>
      </c>
      <c r="H39" s="51" t="s">
        <v>1255</v>
      </c>
      <c r="I39" s="77" t="s">
        <v>1334</v>
      </c>
      <c r="J39" s="51">
        <v>1</v>
      </c>
      <c r="K39" s="37" t="s">
        <v>1243</v>
      </c>
      <c r="L39" s="50">
        <v>2013</v>
      </c>
      <c r="M39" s="110" t="s">
        <v>5</v>
      </c>
      <c r="N39" s="28">
        <v>430</v>
      </c>
      <c r="O39" s="25"/>
      <c r="P39" s="25"/>
      <c r="Q39" s="25"/>
      <c r="R39" s="25"/>
      <c r="S39" s="25"/>
      <c r="T39" s="25">
        <v>77.64</v>
      </c>
      <c r="U39" s="25">
        <v>507.64</v>
      </c>
      <c r="V39" s="30">
        <v>59.723076923076917</v>
      </c>
      <c r="W39" s="30">
        <v>330.76923076923077</v>
      </c>
      <c r="X39" s="31"/>
      <c r="Y39" s="31"/>
      <c r="Z39" s="31"/>
      <c r="AA39" s="31"/>
      <c r="AB39" s="31"/>
      <c r="AC39" s="31"/>
      <c r="AD39" s="31"/>
      <c r="AE39" s="32"/>
      <c r="AF39" s="16"/>
      <c r="AG39" s="3"/>
      <c r="AH39" s="4"/>
      <c r="AI39" s="6">
        <v>1300</v>
      </c>
      <c r="AJ39" s="38">
        <v>100</v>
      </c>
      <c r="AK39" s="3"/>
      <c r="AL39" s="1" t="s">
        <v>596</v>
      </c>
      <c r="AM39" s="39"/>
      <c r="AN39" s="39"/>
      <c r="AO39" s="39"/>
      <c r="AP39" s="39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>
        <v>90.6</v>
      </c>
      <c r="BD39" s="37">
        <v>97.6</v>
      </c>
      <c r="BE39" s="37">
        <v>91</v>
      </c>
      <c r="BF39" s="37">
        <v>93</v>
      </c>
      <c r="BG39" s="42">
        <v>305.29999999999995</v>
      </c>
      <c r="BH39" s="42">
        <v>15.6</v>
      </c>
      <c r="BI39" s="42"/>
      <c r="BJ39" s="42"/>
      <c r="BK39" s="107">
        <v>299.3</v>
      </c>
      <c r="BL39" s="107">
        <v>96.2</v>
      </c>
      <c r="BM39" s="107">
        <f>+BK39+BL39</f>
        <v>395.5</v>
      </c>
      <c r="BN39" s="108">
        <f>+BK39*1000/BQ39</f>
        <v>220.7227138643068</v>
      </c>
      <c r="BO39" s="108">
        <f>+BL39*1000/BQ39</f>
        <v>70.943952802359888</v>
      </c>
      <c r="BP39" s="109">
        <f>+BO39+BN39</f>
        <v>291.66666666666669</v>
      </c>
      <c r="BQ39" s="106">
        <v>1356</v>
      </c>
      <c r="BR39" s="4"/>
      <c r="BS39" s="4">
        <v>1977</v>
      </c>
      <c r="BT39" s="4" t="s">
        <v>431</v>
      </c>
      <c r="BU39" s="4"/>
      <c r="BV39" s="4"/>
      <c r="BW39" s="4" t="s">
        <v>866</v>
      </c>
      <c r="BX39" s="4"/>
      <c r="BY39" s="106">
        <v>13340</v>
      </c>
      <c r="BZ39" s="106">
        <v>13342</v>
      </c>
      <c r="CA39" s="114" t="s">
        <v>1422</v>
      </c>
      <c r="CB39" s="4">
        <v>0</v>
      </c>
      <c r="CC39" s="4">
        <v>0</v>
      </c>
      <c r="CD39" s="4">
        <v>0</v>
      </c>
      <c r="CE39" s="4">
        <v>0</v>
      </c>
      <c r="CF39" s="4">
        <v>0</v>
      </c>
      <c r="CG39" s="4">
        <v>0</v>
      </c>
      <c r="CH39" s="4">
        <v>0</v>
      </c>
      <c r="CI39" s="106">
        <v>70000</v>
      </c>
      <c r="CJ39" s="106">
        <v>88100</v>
      </c>
      <c r="CK39" s="115">
        <f>+CI39/CJ39</f>
        <v>0.79455164585698068</v>
      </c>
      <c r="CL39" s="3" t="str">
        <f>CONCATENATE(IF(CB39&gt;0,"kotlovnica/toplotna postaja, ",""),IF(CF39&gt;0,"razsvetljava, ",""),IF(CG39&gt;0,"energetsko upravljanje, ",""),IF(CH39&gt;0,"manjši investicijski in organizacijski ukrepi, ",""))</f>
        <v/>
      </c>
      <c r="CM39" s="9">
        <f>+CJ39*0.9</f>
        <v>79290</v>
      </c>
      <c r="CN39" s="9">
        <f>+CJ39*0.9</f>
        <v>79290</v>
      </c>
      <c r="CO39" s="9">
        <f>+CJ39*0.9</f>
        <v>79290</v>
      </c>
      <c r="CP39" s="69">
        <f>+IF(CI39-SUM(CM39:CO39)&lt;0,0,CI39-SUM(CM39:CO39))</f>
        <v>0</v>
      </c>
      <c r="CQ39" s="9">
        <f>+(BQ39*CE39*faktorji!$B$24)+(BQ39^0.5*CC39*4*4*0.66*faktorji!$B$22)+(BQ39^0.5*CD39*4*4*0.33*faktorji!$B$25)</f>
        <v>0</v>
      </c>
      <c r="CR39" s="3" t="str">
        <f t="shared" si="1"/>
        <v/>
      </c>
      <c r="CS39" s="9">
        <f>+BQ39*('MOL_tabela rezultatov'!CH39*faktorji!$B$26)+faktorji!$B$27*CG39</f>
        <v>0</v>
      </c>
      <c r="CT39" s="3" t="str">
        <f t="shared" si="0"/>
        <v/>
      </c>
      <c r="CU39" s="9">
        <f t="shared" si="2"/>
        <v>0</v>
      </c>
      <c r="CV39" s="9">
        <f t="shared" ref="CV39:CX39" si="8">+CU39</f>
        <v>0</v>
      </c>
      <c r="CW39" s="9">
        <f t="shared" si="8"/>
        <v>0</v>
      </c>
      <c r="CX39" s="69">
        <f t="shared" si="8"/>
        <v>0</v>
      </c>
    </row>
    <row r="40" spans="1:102" s="10" customFormat="1" ht="18" hidden="1" customHeight="1">
      <c r="A40" s="53" t="s">
        <v>572</v>
      </c>
      <c r="B40" s="2" t="s">
        <v>573</v>
      </c>
      <c r="C40" s="57"/>
      <c r="D40" s="57"/>
      <c r="E40" s="51" t="s">
        <v>1175</v>
      </c>
      <c r="F40" s="51"/>
      <c r="G40" s="51" t="s">
        <v>1366</v>
      </c>
      <c r="H40" s="51" t="s">
        <v>1255</v>
      </c>
      <c r="I40" s="77" t="s">
        <v>1334</v>
      </c>
      <c r="J40" s="51">
        <v>1</v>
      </c>
      <c r="K40" s="37" t="s">
        <v>1243</v>
      </c>
      <c r="L40" s="50">
        <v>2013</v>
      </c>
      <c r="M40" s="110" t="s">
        <v>5</v>
      </c>
      <c r="N40" s="25">
        <v>404</v>
      </c>
      <c r="O40" s="25"/>
      <c r="P40" s="25"/>
      <c r="Q40" s="25"/>
      <c r="R40" s="25"/>
      <c r="S40" s="25"/>
      <c r="T40" s="25">
        <v>42.451000000000001</v>
      </c>
      <c r="U40" s="25">
        <v>446.45100000000002</v>
      </c>
      <c r="V40" s="30">
        <v>14.197658862876255</v>
      </c>
      <c r="W40" s="30">
        <v>135.1170568561873</v>
      </c>
      <c r="X40" s="31"/>
      <c r="Y40" s="31"/>
      <c r="Z40" s="31"/>
      <c r="AA40" s="31"/>
      <c r="AB40" s="31"/>
      <c r="AC40" s="31"/>
      <c r="AD40" s="31"/>
      <c r="AE40" s="32"/>
      <c r="AF40" s="16" t="s">
        <v>468</v>
      </c>
      <c r="AG40" s="3" t="s">
        <v>472</v>
      </c>
      <c r="AH40" s="4"/>
      <c r="AI40" s="6">
        <v>2990</v>
      </c>
      <c r="AJ40" s="38">
        <v>100</v>
      </c>
      <c r="AK40" s="3"/>
      <c r="AL40" s="1" t="s">
        <v>574</v>
      </c>
      <c r="AM40" s="37">
        <f>655+43</f>
        <v>698</v>
      </c>
      <c r="AN40" s="37">
        <f>631+46.2</f>
        <v>677.2</v>
      </c>
      <c r="AO40" s="37">
        <f>609+61.4</f>
        <v>670.4</v>
      </c>
      <c r="AP40" s="37">
        <f>605+56</f>
        <v>661</v>
      </c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>
        <v>51.4</v>
      </c>
      <c r="BD40" s="37">
        <v>52.4</v>
      </c>
      <c r="BE40" s="37">
        <v>49</v>
      </c>
      <c r="BF40" s="37">
        <v>48.9</v>
      </c>
      <c r="BG40" s="42">
        <v>676.65</v>
      </c>
      <c r="BH40" s="42"/>
      <c r="BI40" s="42"/>
      <c r="BJ40" s="42"/>
      <c r="BK40" s="107">
        <v>390.1</v>
      </c>
      <c r="BL40" s="107">
        <v>49</v>
      </c>
      <c r="BM40" s="107">
        <f>+BK40+BL40</f>
        <v>439.1</v>
      </c>
      <c r="BN40" s="108">
        <f>+BK40/BQ40*1000</f>
        <v>106.32324884164623</v>
      </c>
      <c r="BO40" s="108">
        <f>+BL40*1000/BQ40</f>
        <v>13.355137639683837</v>
      </c>
      <c r="BP40" s="109">
        <f>+BO40+BN40</f>
        <v>119.67838648133007</v>
      </c>
      <c r="BQ40" s="106">
        <v>3669</v>
      </c>
      <c r="BR40" s="110" t="s">
        <v>1416</v>
      </c>
      <c r="BS40" s="110" t="s">
        <v>1416</v>
      </c>
      <c r="BT40" s="112" t="s">
        <v>1060</v>
      </c>
      <c r="BU40" s="4"/>
      <c r="BV40" s="1" t="s">
        <v>1061</v>
      </c>
      <c r="BW40" s="4" t="s">
        <v>1062</v>
      </c>
      <c r="BX40" s="4"/>
      <c r="BY40" s="106">
        <v>27273</v>
      </c>
      <c r="BZ40" s="106">
        <v>6422</v>
      </c>
      <c r="CA40" s="114" t="s">
        <v>1415</v>
      </c>
      <c r="CB40" s="4">
        <v>0</v>
      </c>
      <c r="CC40" s="4">
        <v>0</v>
      </c>
      <c r="CD40" s="4">
        <v>0</v>
      </c>
      <c r="CE40" s="4">
        <v>0</v>
      </c>
      <c r="CF40" s="4">
        <v>0</v>
      </c>
      <c r="CG40" s="4">
        <v>0</v>
      </c>
      <c r="CH40" s="4">
        <v>0</v>
      </c>
      <c r="CI40" s="106">
        <v>69500</v>
      </c>
      <c r="CJ40" s="106">
        <v>15900</v>
      </c>
      <c r="CK40" s="66">
        <f>+CI40/CJ40</f>
        <v>4.3710691823899372</v>
      </c>
      <c r="CL40" s="3" t="str">
        <f>CONCATENATE(IF(CB40&gt;0,"kotlovnica/toplotna postaja, ",""),IF(CF40&gt;0,"razsvetljava, ",""),IF(CG40&gt;0,"energetsko upravljanje, ",""),IF(CH40&gt;0,"manjši investicijski in organizacijski ukrepi, ",""))</f>
        <v/>
      </c>
      <c r="CM40" s="9">
        <f>+CJ40*0.9</f>
        <v>14310</v>
      </c>
      <c r="CN40" s="9">
        <f>+CJ40*0.9</f>
        <v>14310</v>
      </c>
      <c r="CO40" s="9">
        <f>+CJ40*0.9</f>
        <v>14310</v>
      </c>
      <c r="CP40" s="69">
        <f>+IF(CI40-SUM(CM40:CO40)&lt;0,0,CI40-SUM(CM40:CO40))</f>
        <v>26570</v>
      </c>
      <c r="CQ40" s="9">
        <f>+(BQ40*CE40*faktorji!$B$24)+(BQ40^0.5*CC40*4*4*0.66*faktorji!$B$22)+(BQ40^0.5*CD40*4*4*0.33*faktorji!$B$25)</f>
        <v>0</v>
      </c>
      <c r="CR40" s="3" t="str">
        <f t="shared" si="1"/>
        <v/>
      </c>
      <c r="CS40" s="9">
        <f>+BQ40*('MOL_tabela rezultatov'!CH40*faktorji!$B$26)+faktorji!$B$27*CG40</f>
        <v>0</v>
      </c>
      <c r="CT40" s="3" t="str">
        <f t="shared" si="0"/>
        <v/>
      </c>
      <c r="CU40" s="9">
        <f t="shared" si="2"/>
        <v>0</v>
      </c>
      <c r="CV40" s="9">
        <f t="shared" ref="CV40:CX40" si="9">+CU40</f>
        <v>0</v>
      </c>
      <c r="CW40" s="9">
        <f t="shared" si="9"/>
        <v>0</v>
      </c>
      <c r="CX40" s="69">
        <f t="shared" si="9"/>
        <v>0</v>
      </c>
    </row>
    <row r="41" spans="1:102" s="10" customFormat="1" ht="18" hidden="1" customHeight="1">
      <c r="A41" s="53" t="s">
        <v>756</v>
      </c>
      <c r="B41" s="2" t="s">
        <v>757</v>
      </c>
      <c r="C41" s="57"/>
      <c r="D41" s="57"/>
      <c r="E41" s="51" t="s">
        <v>1176</v>
      </c>
      <c r="F41" s="51"/>
      <c r="G41" s="51">
        <v>2</v>
      </c>
      <c r="H41" s="71" t="s">
        <v>1255</v>
      </c>
      <c r="I41" s="71"/>
      <c r="J41" s="51">
        <v>1</v>
      </c>
      <c r="K41" s="37" t="s">
        <v>1242</v>
      </c>
      <c r="L41" s="50"/>
      <c r="M41" s="110" t="s">
        <v>5</v>
      </c>
      <c r="N41" s="28">
        <v>174</v>
      </c>
      <c r="O41" s="25"/>
      <c r="P41" s="25"/>
      <c r="Q41" s="25"/>
      <c r="R41" s="25"/>
      <c r="S41" s="25"/>
      <c r="T41" s="25">
        <v>8.6880000000000006</v>
      </c>
      <c r="U41" s="25">
        <v>182.68799999999999</v>
      </c>
      <c r="V41" s="30">
        <v>9.1548998946259239</v>
      </c>
      <c r="W41" s="30">
        <v>183.35089567966281</v>
      </c>
      <c r="X41" s="31"/>
      <c r="Y41" s="31"/>
      <c r="Z41" s="31"/>
      <c r="AA41" s="31"/>
      <c r="AB41" s="31"/>
      <c r="AC41" s="31"/>
      <c r="AD41" s="31"/>
      <c r="AE41" s="32"/>
      <c r="AF41" s="16" t="s">
        <v>468</v>
      </c>
      <c r="AG41" s="3"/>
      <c r="AH41" s="4"/>
      <c r="AI41" s="6">
        <v>949</v>
      </c>
      <c r="AJ41" s="38">
        <v>100</v>
      </c>
      <c r="AK41" s="3"/>
      <c r="AL41" s="1" t="s">
        <v>593</v>
      </c>
      <c r="AM41" s="39">
        <v>169.1</v>
      </c>
      <c r="AN41" s="39">
        <v>161.30000000000001</v>
      </c>
      <c r="AO41" s="39">
        <v>146</v>
      </c>
      <c r="AP41" s="39">
        <v>89.4</v>
      </c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42">
        <v>141.44999999999999</v>
      </c>
      <c r="BH41" s="42"/>
      <c r="BI41" s="42"/>
      <c r="BJ41" s="42"/>
      <c r="BK41" s="107">
        <v>152</v>
      </c>
      <c r="BL41" s="107">
        <v>22</v>
      </c>
      <c r="BM41" s="107">
        <f>+BK41+BL41</f>
        <v>174</v>
      </c>
      <c r="BN41" s="108">
        <f>+BK41*1000/BQ41</f>
        <v>172.92377701934015</v>
      </c>
      <c r="BO41" s="108">
        <f>+BL41*1000/BQ41</f>
        <v>25.028441410693972</v>
      </c>
      <c r="BP41" s="109">
        <f>+BO41+BN41</f>
        <v>197.95221843003412</v>
      </c>
      <c r="BQ41" s="106">
        <v>879</v>
      </c>
      <c r="BR41" s="110">
        <v>183</v>
      </c>
      <c r="BS41" s="110">
        <v>1974</v>
      </c>
      <c r="BT41" s="110" t="s">
        <v>941</v>
      </c>
      <c r="BU41" s="4" t="s">
        <v>136</v>
      </c>
      <c r="BV41" s="1" t="s">
        <v>942</v>
      </c>
      <c r="BW41" s="4"/>
      <c r="BX41" s="4"/>
      <c r="BY41" s="106">
        <v>8990</v>
      </c>
      <c r="BZ41" s="106">
        <v>3140</v>
      </c>
      <c r="CA41" s="116" t="s">
        <v>1319</v>
      </c>
      <c r="CB41" s="4">
        <v>1</v>
      </c>
      <c r="CC41" s="4">
        <v>0</v>
      </c>
      <c r="CD41" s="4">
        <v>0</v>
      </c>
      <c r="CE41" s="4">
        <v>0</v>
      </c>
      <c r="CF41" s="4">
        <v>1</v>
      </c>
      <c r="CG41" s="4">
        <v>1</v>
      </c>
      <c r="CH41" s="4">
        <v>1</v>
      </c>
      <c r="CI41" s="106">
        <v>45100</v>
      </c>
      <c r="CJ41" s="106">
        <f>+(BZ41*CF41*faktorji!$B$18)+(CG41*faktorji!$B$17*('MOL_tabela rezultatov'!BY275+'MOL_tabela rezultatov'!BZ275))+('MOL_tabela rezultatov'!CH275*faktorji!$B$16*'MOL_tabela rezultatov'!BY275)+('MOL_tabela rezultatov'!CB275*faktorji!$B$12*'MOL_tabela rezultatov'!BY275)</f>
        <v>725.2</v>
      </c>
      <c r="CK41" s="115">
        <f>+CI41/CJ41</f>
        <v>62.189740761169325</v>
      </c>
      <c r="CL41" s="3" t="str">
        <f>CONCATENATE(IF(CB41&gt;0,"kotlovnica/toplotna postaja, ",""),IF(CF41&gt;0,"razsvetljava, ",""),IF(CG41&gt;0,"energetsko upravljanje, ",""),IF(CH41&gt;0,"manjši investicijski in organizacijski ukrepi, ",""))</f>
        <v xml:space="preserve">kotlovnica/toplotna postaja, razsvetljava, energetsko upravljanje, manjši investicijski in organizacijski ukrepi, </v>
      </c>
      <c r="CM41" s="9">
        <f>+CJ41*0.9</f>
        <v>652.68000000000006</v>
      </c>
      <c r="CN41" s="9">
        <f>+CJ41*0.9</f>
        <v>652.68000000000006</v>
      </c>
      <c r="CO41" s="9">
        <f>+CJ41*0.9</f>
        <v>652.68000000000006</v>
      </c>
      <c r="CP41" s="69">
        <f>+IF(CI41-SUM(CM41:CO41)&lt;0,0,CI41-SUM(CM41:CO41))</f>
        <v>43141.96</v>
      </c>
      <c r="CQ41" s="9">
        <f>+(BQ41*CE41*faktorji!$B$24)+(BQ41^0.5*CC41*4*4*0.66*faktorji!$B$22)+(BQ41^0.5*CD41*4*4*0.33*faktorji!$B$25)</f>
        <v>0</v>
      </c>
      <c r="CR41" s="3" t="str">
        <f t="shared" si="1"/>
        <v/>
      </c>
      <c r="CS41" s="9">
        <f>+BQ41*('MOL_tabela rezultatov'!CH41*faktorji!$B$26)+faktorji!$B$27*CG41</f>
        <v>19318.5</v>
      </c>
      <c r="CT41" s="3" t="str">
        <f t="shared" si="0"/>
        <v xml:space="preserve">energetsko upravljanje, manjši investicijski in organizacijski ukrepi, </v>
      </c>
      <c r="CU41" s="9">
        <f t="shared" si="2"/>
        <v>4829.625</v>
      </c>
      <c r="CV41" s="9">
        <f t="shared" ref="CV41:CX41" si="10">+CU41</f>
        <v>4829.625</v>
      </c>
      <c r="CW41" s="9">
        <f t="shared" si="10"/>
        <v>4829.625</v>
      </c>
      <c r="CX41" s="69">
        <f t="shared" si="10"/>
        <v>4829.625</v>
      </c>
    </row>
    <row r="42" spans="1:102" s="10" customFormat="1" ht="18" hidden="1" customHeight="1">
      <c r="A42" s="54" t="s">
        <v>124</v>
      </c>
      <c r="B42" s="3" t="s">
        <v>125</v>
      </c>
      <c r="C42" s="56"/>
      <c r="D42" s="56"/>
      <c r="E42" s="51" t="s">
        <v>1169</v>
      </c>
      <c r="F42" s="51"/>
      <c r="G42" s="51">
        <v>4</v>
      </c>
      <c r="H42" s="51"/>
      <c r="I42" s="51"/>
      <c r="J42" s="51">
        <v>6</v>
      </c>
      <c r="K42" s="37" t="s">
        <v>1244</v>
      </c>
      <c r="L42" s="50"/>
      <c r="M42" s="5" t="s">
        <v>5</v>
      </c>
      <c r="N42" s="25">
        <v>16.621742982456141</v>
      </c>
      <c r="O42" s="25"/>
      <c r="P42" s="25"/>
      <c r="Q42" s="25"/>
      <c r="R42" s="25"/>
      <c r="S42" s="25"/>
      <c r="T42" s="25">
        <v>6.554542982456141</v>
      </c>
      <c r="U42" s="25">
        <v>23.176285964912282</v>
      </c>
      <c r="V42" s="30">
        <v>45.835964912280708</v>
      </c>
      <c r="W42" s="30">
        <v>116.23596491228071</v>
      </c>
      <c r="X42" s="31"/>
      <c r="Y42" s="31"/>
      <c r="Z42" s="31"/>
      <c r="AA42" s="31"/>
      <c r="AB42" s="31"/>
      <c r="AC42" s="31"/>
      <c r="AD42" s="31"/>
      <c r="AE42" s="32">
        <v>0</v>
      </c>
      <c r="AF42" s="1"/>
      <c r="AG42" s="4"/>
      <c r="AH42" s="4"/>
      <c r="AI42" s="6">
        <v>143</v>
      </c>
      <c r="AJ42" s="38">
        <v>100</v>
      </c>
      <c r="AK42" s="34" t="s">
        <v>126</v>
      </c>
      <c r="AL42" s="1" t="s">
        <v>127</v>
      </c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42">
        <v>17.600000000000001</v>
      </c>
      <c r="BH42" s="42"/>
      <c r="BI42" s="42"/>
      <c r="BJ42" s="42"/>
      <c r="BK42" s="44">
        <v>17.600000000000001</v>
      </c>
      <c r="BL42" s="44">
        <v>13.098799999999999</v>
      </c>
      <c r="BM42" s="44">
        <f>+BK42+BL42</f>
        <v>30.698799999999999</v>
      </c>
      <c r="BN42" s="47">
        <v>123.07692307692308</v>
      </c>
      <c r="BO42" s="47">
        <v>91.6</v>
      </c>
      <c r="BP42" s="45">
        <v>214.67692307692306</v>
      </c>
      <c r="BQ42" s="9">
        <v>143</v>
      </c>
      <c r="BR42" s="4"/>
      <c r="BS42" s="4"/>
      <c r="BT42" s="4"/>
      <c r="BU42" s="4" t="s">
        <v>1245</v>
      </c>
      <c r="BV42" s="4"/>
      <c r="BW42" s="4"/>
      <c r="BX42" s="4"/>
      <c r="BY42" s="9">
        <f>+INT(BK42*faktorji!$B$3)</f>
        <v>1144</v>
      </c>
      <c r="BZ42" s="9">
        <f>+INT(BL42*faktorji!$B$4)</f>
        <v>2161</v>
      </c>
      <c r="CA42" s="4"/>
      <c r="CB42" s="4">
        <v>0</v>
      </c>
      <c r="CC42" s="4">
        <v>0</v>
      </c>
      <c r="CD42" s="4">
        <v>0</v>
      </c>
      <c r="CE42" s="4">
        <v>0</v>
      </c>
      <c r="CF42" s="4">
        <v>1</v>
      </c>
      <c r="CG42" s="4">
        <v>1</v>
      </c>
      <c r="CH42" s="4">
        <v>1</v>
      </c>
      <c r="CI42" s="9">
        <f>+BQ42*(CB42*faktorji!$B$21+'MOL_tabela rezultatov'!CF43*faktorji!$B$23+'MOL_tabela rezultatov'!CH43*faktorji!$B$26)+faktorji!$B$27*CG42</f>
        <v>20359.5</v>
      </c>
      <c r="CJ42" s="9">
        <f>+(BZ42*CF42*faktorji!$B$18)+(CG42*faktorji!$B$17*('MOL_tabela rezultatov'!BY43+'MOL_tabela rezultatov'!BZ43))+('MOL_tabela rezultatov'!CH43*faktorji!$B$16*'MOL_tabela rezultatov'!BY43)+('MOL_tabela rezultatov'!CB43*faktorji!$B$12*'MOL_tabela rezultatov'!BY43)</f>
        <v>1362.0500000000002</v>
      </c>
      <c r="CK42" s="66">
        <f>+CI42/CJ42</f>
        <v>14.947689145038726</v>
      </c>
      <c r="CL42" s="3" t="str">
        <f>CONCATENATE(IF(CB42&gt;0,"kotlovnica/toplotna postaja, ",""),IF(CF42&gt;0,"razsvetljava, ",""),IF(CG42&gt;0,"energetsko upravljanje, ",""),IF(CH42&gt;0,"manjši investicijski in organizacijski ukrepi, ",""))</f>
        <v xml:space="preserve">razsvetljava, energetsko upravljanje, manjši investicijski in organizacijski ukrepi, </v>
      </c>
      <c r="CM42" s="9">
        <f>+CJ42*0.9</f>
        <v>1225.8450000000003</v>
      </c>
      <c r="CN42" s="9">
        <f>+CJ42*0.9</f>
        <v>1225.8450000000003</v>
      </c>
      <c r="CO42" s="9">
        <f>+CJ42*0.9</f>
        <v>1225.8450000000003</v>
      </c>
      <c r="CP42" s="69">
        <f>+IF(CI42-SUM(CM42:CO42)&lt;0,0,CI42-SUM(CM42:CO42))</f>
        <v>16681.965</v>
      </c>
      <c r="CQ42" s="9">
        <f>+(BQ42*CE42*faktorji!$B$24)+(BQ42^0.5*CC42*4*4*0.66*faktorji!$B$22)+(BQ42^0.5*CD42*4*4*0.33*faktorji!$B$25)</f>
        <v>0</v>
      </c>
      <c r="CR42" s="3" t="str">
        <f t="shared" si="1"/>
        <v/>
      </c>
      <c r="CS42" s="9">
        <f>+BQ42*('MOL_tabela rezultatov'!CH42*faktorji!$B$26)+faktorji!$B$27*CG42</f>
        <v>18214.5</v>
      </c>
      <c r="CT42" s="3" t="str">
        <f t="shared" si="0"/>
        <v xml:space="preserve">energetsko upravljanje, manjši investicijski in organizacijski ukrepi, </v>
      </c>
      <c r="CU42" s="9">
        <f t="shared" si="2"/>
        <v>4553.625</v>
      </c>
      <c r="CV42" s="9">
        <f t="shared" ref="CV42:CX42" si="11">+CU42</f>
        <v>4553.625</v>
      </c>
      <c r="CW42" s="9">
        <f t="shared" si="11"/>
        <v>4553.625</v>
      </c>
      <c r="CX42" s="69">
        <f t="shared" si="11"/>
        <v>4553.625</v>
      </c>
    </row>
    <row r="43" spans="1:102" s="10" customFormat="1" ht="18" hidden="1" customHeight="1">
      <c r="A43" s="54" t="s">
        <v>1281</v>
      </c>
      <c r="B43" s="3" t="s">
        <v>330</v>
      </c>
      <c r="C43" s="56"/>
      <c r="D43" s="56"/>
      <c r="E43" s="51" t="s">
        <v>1173</v>
      </c>
      <c r="F43" s="51"/>
      <c r="G43" s="51">
        <v>2</v>
      </c>
      <c r="H43" s="51"/>
      <c r="I43" s="51"/>
      <c r="J43" s="51">
        <v>3</v>
      </c>
      <c r="K43" s="37" t="s">
        <v>1241</v>
      </c>
      <c r="L43" s="50"/>
      <c r="M43" s="4" t="s">
        <v>6</v>
      </c>
      <c r="N43" s="25"/>
      <c r="O43" s="25"/>
      <c r="P43" s="25"/>
      <c r="Q43" s="25"/>
      <c r="R43" s="25"/>
      <c r="S43" s="25">
        <v>51.464344069501948</v>
      </c>
      <c r="T43" s="25">
        <v>9.6441431111100204</v>
      </c>
      <c r="U43" s="25">
        <v>9.6441431111100204</v>
      </c>
      <c r="V43" s="30">
        <v>26.602986339816756</v>
      </c>
      <c r="W43" s="30">
        <v>141.96235233085511</v>
      </c>
      <c r="X43" s="31"/>
      <c r="Y43" s="31"/>
      <c r="Z43" s="31"/>
      <c r="AA43" s="31"/>
      <c r="AB43" s="31"/>
      <c r="AC43" s="31"/>
      <c r="AD43" s="31"/>
      <c r="AE43" s="32"/>
      <c r="AF43" s="1"/>
      <c r="AG43" s="4"/>
      <c r="AH43" s="4"/>
      <c r="AI43" s="6">
        <v>362.52107142857142</v>
      </c>
      <c r="AJ43" s="38"/>
      <c r="AK43" s="3"/>
      <c r="AL43" s="1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42"/>
      <c r="BH43" s="42">
        <v>47.226299999999995</v>
      </c>
      <c r="BI43" s="42"/>
      <c r="BJ43" s="42"/>
      <c r="BK43" s="44">
        <v>47.226299999999995</v>
      </c>
      <c r="BL43" s="44">
        <v>8.5305</v>
      </c>
      <c r="BM43" s="44">
        <f>+BK43+BL43</f>
        <v>55.756799999999998</v>
      </c>
      <c r="BN43" s="47">
        <v>130.1</v>
      </c>
      <c r="BO43" s="47">
        <v>23.5</v>
      </c>
      <c r="BP43" s="45">
        <v>153.6</v>
      </c>
      <c r="BQ43" s="6">
        <v>363</v>
      </c>
      <c r="BR43" s="4"/>
      <c r="BS43" s="4"/>
      <c r="BT43" s="4"/>
      <c r="BU43" s="4"/>
      <c r="BV43" s="4"/>
      <c r="BW43" s="4"/>
      <c r="BX43" s="4"/>
      <c r="BY43" s="9">
        <f>+INT(BK43*faktorji!$B$5)</f>
        <v>4486</v>
      </c>
      <c r="BZ43" s="9">
        <f>+INT(BL43*faktorji!$B$4)</f>
        <v>1407</v>
      </c>
      <c r="CA43" s="72" t="s">
        <v>1315</v>
      </c>
      <c r="CB43" s="4">
        <v>0</v>
      </c>
      <c r="CC43" s="4">
        <v>0</v>
      </c>
      <c r="CD43" s="4">
        <v>0</v>
      </c>
      <c r="CE43" s="4">
        <v>0</v>
      </c>
      <c r="CF43" s="4">
        <v>1</v>
      </c>
      <c r="CG43" s="4">
        <v>1</v>
      </c>
      <c r="CH43" s="4">
        <v>1</v>
      </c>
      <c r="CI43" s="9">
        <f>+BQ43*(CB43*faktorji!$B$21+'MOL_tabela rezultatov'!CF132*faktorji!$B$23+'MOL_tabela rezultatov'!CH132*faktorji!$B$26)+faktorji!$B$27*CG43</f>
        <v>18544.5</v>
      </c>
      <c r="CJ43" s="9">
        <f>+(BZ43*CF43*faktorji!$B$18)+(CG43*faktorji!$B$17*('MOL_tabela rezultatov'!BY132+'MOL_tabela rezultatov'!BZ132))+('MOL_tabela rezultatov'!CH132*faktorji!$B$16*'MOL_tabela rezultatov'!BY132)+('MOL_tabela rezultatov'!CB132*faktorji!$B$12*'MOL_tabela rezultatov'!BY132)</f>
        <v>11924.850000000002</v>
      </c>
      <c r="CK43" s="66">
        <f>+CI43/CJ43</f>
        <v>1.5551139008037833</v>
      </c>
      <c r="CL43" s="3" t="str">
        <f>CONCATENATE(IF(CB43&gt;0,"kotlovnica/toplotna postaja, ",""),IF(CF43&gt;0,"razsvetljava, ",""),IF(CG43&gt;0,"energetsko upravljanje, ",""),IF(CH43&gt;0,"manjši investicijski in organizacijski ukrepi, ",""))</f>
        <v xml:space="preserve">razsvetljava, energetsko upravljanje, manjši investicijski in organizacijski ukrepi, </v>
      </c>
      <c r="CM43" s="9">
        <f>+CJ43*0.9</f>
        <v>10732.365000000002</v>
      </c>
      <c r="CN43" s="9">
        <f>+CJ43*0.9</f>
        <v>10732.365000000002</v>
      </c>
      <c r="CO43" s="9">
        <f>+CJ43*0.9</f>
        <v>10732.365000000002</v>
      </c>
      <c r="CP43" s="69">
        <f>+IF(CI43-SUM(CM43:CO43)&lt;0,0,CI43-SUM(CM43:CO43))</f>
        <v>0</v>
      </c>
      <c r="CQ43" s="9">
        <f>+(BQ43*CE43*faktorji!$B$24)+(BQ43^0.5*CC43*4*4*0.66*faktorji!$B$22)+(BQ43^0.5*CD43*4*4*0.33*faktorji!$B$25)</f>
        <v>0</v>
      </c>
      <c r="CR43" s="3" t="str">
        <f t="shared" si="1"/>
        <v/>
      </c>
      <c r="CS43" s="9">
        <f>+BQ43*('MOL_tabela rezultatov'!CH43*faktorji!$B$26)+faktorji!$B$27*CG43</f>
        <v>18544.5</v>
      </c>
      <c r="CT43" s="3" t="str">
        <f t="shared" si="0"/>
        <v xml:space="preserve">energetsko upravljanje, manjši investicijski in organizacijski ukrepi, </v>
      </c>
      <c r="CU43" s="9">
        <f t="shared" si="2"/>
        <v>4636.125</v>
      </c>
      <c r="CV43" s="9">
        <f t="shared" ref="CV43:CX43" si="12">+CU43</f>
        <v>4636.125</v>
      </c>
      <c r="CW43" s="9">
        <f t="shared" si="12"/>
        <v>4636.125</v>
      </c>
      <c r="CX43" s="69">
        <f t="shared" si="12"/>
        <v>4636.125</v>
      </c>
    </row>
    <row r="44" spans="1:102" s="10" customFormat="1" ht="18" hidden="1" customHeight="1">
      <c r="A44" s="53" t="s">
        <v>532</v>
      </c>
      <c r="B44" s="2" t="s">
        <v>533</v>
      </c>
      <c r="C44" s="57"/>
      <c r="D44" s="57"/>
      <c r="E44" s="51" t="s">
        <v>1175</v>
      </c>
      <c r="F44" s="51"/>
      <c r="G44" s="51">
        <v>2</v>
      </c>
      <c r="H44" s="51" t="s">
        <v>1251</v>
      </c>
      <c r="I44" s="51"/>
      <c r="J44" s="51">
        <v>2</v>
      </c>
      <c r="K44" s="37" t="s">
        <v>1243</v>
      </c>
      <c r="L44" s="50"/>
      <c r="M44" s="4" t="s">
        <v>7</v>
      </c>
      <c r="N44" s="25"/>
      <c r="O44" s="25"/>
      <c r="P44" s="28">
        <v>100</v>
      </c>
      <c r="Q44" s="25"/>
      <c r="R44" s="25"/>
      <c r="S44" s="25"/>
      <c r="T44" s="25">
        <v>6.2930000000000001</v>
      </c>
      <c r="U44" s="25">
        <v>106.29300000000001</v>
      </c>
      <c r="V44" s="30">
        <v>13.00206611570248</v>
      </c>
      <c r="W44" s="30">
        <v>206.61157024793388</v>
      </c>
      <c r="X44" s="31"/>
      <c r="Y44" s="31"/>
      <c r="Z44" s="31"/>
      <c r="AA44" s="31"/>
      <c r="AB44" s="31"/>
      <c r="AC44" s="31"/>
      <c r="AD44" s="31"/>
      <c r="AE44" s="32"/>
      <c r="AF44" s="16" t="s">
        <v>534</v>
      </c>
      <c r="AG44" s="3">
        <v>1992</v>
      </c>
      <c r="AH44" s="4"/>
      <c r="AI44" s="6">
        <v>484</v>
      </c>
      <c r="AJ44" s="38">
        <v>100</v>
      </c>
      <c r="AK44" s="3"/>
      <c r="AL44" s="1" t="s">
        <v>535</v>
      </c>
      <c r="AM44" s="37"/>
      <c r="AN44" s="37"/>
      <c r="AO44" s="37"/>
      <c r="AP44" s="37"/>
      <c r="AQ44" s="37"/>
      <c r="AR44" s="37"/>
      <c r="AS44" s="37"/>
      <c r="AT44" s="37"/>
      <c r="AU44" s="39">
        <v>77.3</v>
      </c>
      <c r="AV44" s="39">
        <v>102</v>
      </c>
      <c r="AW44" s="39">
        <v>94</v>
      </c>
      <c r="AX44" s="39">
        <v>75.3</v>
      </c>
      <c r="AY44" s="37"/>
      <c r="AZ44" s="37"/>
      <c r="BA44" s="37"/>
      <c r="BB44" s="37"/>
      <c r="BC44" s="37">
        <v>4.33</v>
      </c>
      <c r="BD44" s="37">
        <v>5.13</v>
      </c>
      <c r="BE44" s="37">
        <v>5.6</v>
      </c>
      <c r="BF44" s="37">
        <v>7</v>
      </c>
      <c r="BG44" s="42"/>
      <c r="BH44" s="42"/>
      <c r="BI44" s="42">
        <v>87.15</v>
      </c>
      <c r="BJ44" s="42"/>
      <c r="BK44" s="44">
        <v>87.15</v>
      </c>
      <c r="BL44" s="44">
        <v>5.5150000000000006</v>
      </c>
      <c r="BM44" s="44">
        <f>+BK44+BL44</f>
        <v>92.665000000000006</v>
      </c>
      <c r="BN44" s="47">
        <v>194.96644295302013</v>
      </c>
      <c r="BO44" s="47">
        <v>12.337807606263985</v>
      </c>
      <c r="BP44" s="45">
        <v>207.30425055928413</v>
      </c>
      <c r="BQ44" s="9">
        <v>447</v>
      </c>
      <c r="BR44" s="4">
        <v>50</v>
      </c>
      <c r="BS44" s="4">
        <v>1992</v>
      </c>
      <c r="BT44" s="1" t="s">
        <v>1046</v>
      </c>
      <c r="BU44" s="4"/>
      <c r="BV44" s="4"/>
      <c r="BW44" s="4"/>
      <c r="BX44" s="4"/>
      <c r="BY44" s="9">
        <f>+INT(BK44*faktorji!$B$6)</f>
        <v>10893</v>
      </c>
      <c r="BZ44" s="9">
        <f>+INT(BL44*faktorji!$B$4)</f>
        <v>909</v>
      </c>
      <c r="CA44" s="3" t="s">
        <v>1300</v>
      </c>
      <c r="CB44" s="4">
        <v>1</v>
      </c>
      <c r="CC44" s="4">
        <v>1</v>
      </c>
      <c r="CD44" s="4">
        <v>1</v>
      </c>
      <c r="CE44" s="4">
        <v>0</v>
      </c>
      <c r="CF44" s="4">
        <v>1</v>
      </c>
      <c r="CG44" s="4">
        <v>1</v>
      </c>
      <c r="CH44" s="4">
        <v>1</v>
      </c>
      <c r="CI44" s="9">
        <f>+BQ44*(CB44*faktorji!$B$21+'MOL_tabela rezultatov'!CF202*faktorji!$B$23+'MOL_tabela rezultatov'!CH202*faktorji!$B$26)+faktorji!$B$27*CG44</f>
        <v>24705</v>
      </c>
      <c r="CJ44" s="9">
        <f>+(BZ44*CF44*faktorji!$B$18)+(CG44*faktorji!$B$17*('MOL_tabela rezultatov'!BY202+'MOL_tabela rezultatov'!BZ202))+('MOL_tabela rezultatov'!CH202*faktorji!$B$16*'MOL_tabela rezultatov'!BY202)+('MOL_tabela rezultatov'!CB202*faktorji!$B$12*'MOL_tabela rezultatov'!BY202)</f>
        <v>2767.05</v>
      </c>
      <c r="CK44" s="66">
        <f>+CI44/CJ44</f>
        <v>8.9282810213042758</v>
      </c>
      <c r="CL44" s="3" t="str">
        <f>CONCATENATE(IF(CB44&gt;0,"kotlovnica/toplotna postaja, ",""),IF(CF44&gt;0,"razsvetljava, ",""),IF(CG44&gt;0,"energetsko upravljanje, ",""),IF(CH44&gt;0,"manjši investicijski in organizacijski ukrepi, ",""))</f>
        <v xml:space="preserve">kotlovnica/toplotna postaja, razsvetljava, energetsko upravljanje, manjši investicijski in organizacijski ukrepi, </v>
      </c>
      <c r="CM44" s="9">
        <f>+CJ44*0.9</f>
        <v>2490.3450000000003</v>
      </c>
      <c r="CN44" s="9">
        <f>+CJ44*0.9</f>
        <v>2490.3450000000003</v>
      </c>
      <c r="CO44" s="9">
        <f>+CJ44*0.9</f>
        <v>2490.3450000000003</v>
      </c>
      <c r="CP44" s="69">
        <f>+IF(CI44-SUM(CM44:CO44)&lt;0,0,CI44-SUM(CM44:CO44))</f>
        <v>17233.965</v>
      </c>
      <c r="CQ44" s="9">
        <f>+(BQ44*CE44*faktorji!$B$24)+(BQ44^0.5*CC44*4*4*0.66*faktorji!$B$22)+(BQ44^0.5*CD44*4*4*0.33*faktorji!$B$25)</f>
        <v>43536.377594834419</v>
      </c>
      <c r="CR44" s="3" t="str">
        <f t="shared" si="1"/>
        <v xml:space="preserve">izolacija ovoja, stavbno pohištvo, </v>
      </c>
      <c r="CS44" s="9">
        <f>+BQ44*('MOL_tabela rezultatov'!CH44*faktorji!$B$26)+faktorji!$B$27*CG44</f>
        <v>18670.5</v>
      </c>
      <c r="CT44" s="3" t="str">
        <f t="shared" si="0"/>
        <v xml:space="preserve">energetsko upravljanje, manjši investicijski in organizacijski ukrepi, </v>
      </c>
      <c r="CU44" s="9">
        <f t="shared" si="2"/>
        <v>4667.625</v>
      </c>
      <c r="CV44" s="9">
        <f t="shared" ref="CV44:CX44" si="13">+CU44</f>
        <v>4667.625</v>
      </c>
      <c r="CW44" s="9">
        <f t="shared" si="13"/>
        <v>4667.625</v>
      </c>
      <c r="CX44" s="69">
        <f t="shared" si="13"/>
        <v>4667.625</v>
      </c>
    </row>
    <row r="45" spans="1:102" s="10" customFormat="1" ht="18" hidden="1" customHeight="1">
      <c r="A45" s="53" t="s">
        <v>622</v>
      </c>
      <c r="B45" s="2" t="s">
        <v>623</v>
      </c>
      <c r="C45" s="57"/>
      <c r="D45" s="57"/>
      <c r="E45" s="51" t="s">
        <v>1176</v>
      </c>
      <c r="F45" s="51"/>
      <c r="G45" s="51">
        <v>3</v>
      </c>
      <c r="H45" s="51"/>
      <c r="I45" s="51"/>
      <c r="J45" s="51">
        <v>7</v>
      </c>
      <c r="K45" s="37" t="s">
        <v>1242</v>
      </c>
      <c r="L45" s="50"/>
      <c r="M45" s="4" t="s">
        <v>5</v>
      </c>
      <c r="N45" s="25"/>
      <c r="O45" s="25"/>
      <c r="P45" s="25"/>
      <c r="Q45" s="25"/>
      <c r="R45" s="25"/>
      <c r="S45" s="25">
        <v>268.10500000000002</v>
      </c>
      <c r="T45" s="25">
        <v>39.679473864330369</v>
      </c>
      <c r="U45" s="25">
        <v>39.679473864330369</v>
      </c>
      <c r="V45" s="30">
        <v>31.819946964178321</v>
      </c>
      <c r="W45" s="30">
        <v>215</v>
      </c>
      <c r="X45" s="31"/>
      <c r="Y45" s="31"/>
      <c r="Z45" s="31"/>
      <c r="AA45" s="31"/>
      <c r="AB45" s="31"/>
      <c r="AC45" s="31"/>
      <c r="AD45" s="31"/>
      <c r="AE45" s="32"/>
      <c r="AF45" s="16"/>
      <c r="AG45" s="3"/>
      <c r="AH45" s="4"/>
      <c r="AI45" s="6">
        <v>1247</v>
      </c>
      <c r="AJ45" s="38">
        <v>100</v>
      </c>
      <c r="AK45" s="3"/>
      <c r="AL45" s="1" t="s">
        <v>619</v>
      </c>
      <c r="AM45" s="37">
        <f>236.9+81.5</f>
        <v>318.39999999999998</v>
      </c>
      <c r="AN45" s="37">
        <f>256.5+75.8</f>
        <v>332.3</v>
      </c>
      <c r="AO45" s="37">
        <f>244.9+74.7</f>
        <v>319.60000000000002</v>
      </c>
      <c r="AP45" s="37">
        <f>194.9+60.1</f>
        <v>255</v>
      </c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42">
        <v>306.32500000000005</v>
      </c>
      <c r="BH45" s="42">
        <v>10.029999999999999</v>
      </c>
      <c r="BI45" s="42"/>
      <c r="BJ45" s="42"/>
      <c r="BK45" s="44">
        <v>316.35500000000002</v>
      </c>
      <c r="BL45" s="44">
        <v>65.144999999999996</v>
      </c>
      <c r="BM45" s="44">
        <f>+BK45+BL45</f>
        <v>381.5</v>
      </c>
      <c r="BN45" s="47">
        <v>245.23643410852713</v>
      </c>
      <c r="BO45" s="47">
        <v>50.5</v>
      </c>
      <c r="BP45" s="45">
        <v>295.73643410852713</v>
      </c>
      <c r="BQ45" s="9">
        <v>1290</v>
      </c>
      <c r="BR45" s="4" t="s">
        <v>882</v>
      </c>
      <c r="BS45" s="4">
        <v>2013</v>
      </c>
      <c r="BT45" s="4" t="s">
        <v>431</v>
      </c>
      <c r="BU45" s="4"/>
      <c r="BV45" s="4" t="s">
        <v>871</v>
      </c>
      <c r="BW45" s="4" t="s">
        <v>874</v>
      </c>
      <c r="BX45" s="4"/>
      <c r="BY45" s="9">
        <f>+INT(BK45*faktorji!$B$3)</f>
        <v>20563</v>
      </c>
      <c r="BZ45" s="9">
        <f>+INT(BL45*faktorji!$B$4)</f>
        <v>10748</v>
      </c>
      <c r="CA45" s="4"/>
      <c r="CB45" s="4">
        <v>0</v>
      </c>
      <c r="CC45" s="4">
        <v>1</v>
      </c>
      <c r="CD45" s="4">
        <v>0</v>
      </c>
      <c r="CE45" s="4">
        <v>0</v>
      </c>
      <c r="CF45" s="4">
        <v>0</v>
      </c>
      <c r="CG45" s="4">
        <v>1</v>
      </c>
      <c r="CH45" s="4">
        <v>1</v>
      </c>
      <c r="CI45" s="9">
        <f>+BQ45*(CB45*faktorji!$B$21+'MOL_tabela rezultatov'!CF228*faktorji!$B$23+'MOL_tabela rezultatov'!CH228*faktorji!$B$26)+faktorji!$B$27*CG45</f>
        <v>39285</v>
      </c>
      <c r="CJ45" s="9">
        <f>+(BZ45*CF45*faktorji!$B$18)+(CG45*faktorji!$B$17*('MOL_tabela rezultatov'!BY228+'MOL_tabela rezultatov'!BZ228))+('MOL_tabela rezultatov'!CH228*faktorji!$B$16*'MOL_tabela rezultatov'!BY228)+('MOL_tabela rezultatov'!CB228*faktorji!$B$12*'MOL_tabela rezultatov'!BY228)</f>
        <v>3337.2000000000007</v>
      </c>
      <c r="CK45" s="66">
        <f>+CI45/CJ45</f>
        <v>11.771844660194173</v>
      </c>
      <c r="CL45" s="3" t="str">
        <f>CONCATENATE(IF(CB45&gt;0,"kotlovnica/toplotna postaja, ",""),IF(CF45&gt;0,"razsvetljava, ",""),IF(CG45&gt;0,"energetsko upravljanje, ",""),IF(CH45&gt;0,"manjši investicijski in organizacijski ukrepi, ",""))</f>
        <v xml:space="preserve">energetsko upravljanje, manjši investicijski in organizacijski ukrepi, </v>
      </c>
      <c r="CM45" s="9">
        <f>+CJ45*0.9</f>
        <v>3003.4800000000009</v>
      </c>
      <c r="CN45" s="9">
        <f>+CJ45*0.9</f>
        <v>3003.4800000000009</v>
      </c>
      <c r="CO45" s="9">
        <f>+CJ45*0.9</f>
        <v>3003.4800000000009</v>
      </c>
      <c r="CP45" s="69">
        <f>+IF(CI45-SUM(CM45:CO45)&lt;0,0,CI45-SUM(CM45:CO45))</f>
        <v>30274.559999999998</v>
      </c>
      <c r="CQ45" s="9">
        <f>+(BQ45*CE45*faktorji!$B$24)+(BQ45^0.5*CC45*4*4*0.66*faktorji!$B$22)+(BQ45^0.5*CD45*4*4*0.33*faktorji!$B$25)</f>
        <v>26549.528538186889</v>
      </c>
      <c r="CR45" s="3" t="str">
        <f t="shared" si="1"/>
        <v xml:space="preserve">izolacija ovoja, </v>
      </c>
      <c r="CS45" s="9">
        <f>+BQ45*('MOL_tabela rezultatov'!CH45*faktorji!$B$26)+faktorji!$B$27*CG45</f>
        <v>19935</v>
      </c>
      <c r="CT45" s="3" t="str">
        <f t="shared" si="0"/>
        <v xml:space="preserve">energetsko upravljanje, manjši investicijski in organizacijski ukrepi, </v>
      </c>
      <c r="CU45" s="9">
        <f t="shared" si="2"/>
        <v>4983.75</v>
      </c>
      <c r="CV45" s="9">
        <f t="shared" ref="CV45:CX45" si="14">+CU45</f>
        <v>4983.75</v>
      </c>
      <c r="CW45" s="9">
        <f t="shared" si="14"/>
        <v>4983.75</v>
      </c>
      <c r="CX45" s="69">
        <f t="shared" si="14"/>
        <v>4983.75</v>
      </c>
    </row>
    <row r="46" spans="1:102" s="10" customFormat="1" ht="18" hidden="1" customHeight="1">
      <c r="A46" s="54" t="s">
        <v>802</v>
      </c>
      <c r="B46" s="3" t="s">
        <v>803</v>
      </c>
      <c r="C46" s="56"/>
      <c r="D46" s="56"/>
      <c r="E46" s="51" t="s">
        <v>1176</v>
      </c>
      <c r="F46" s="51"/>
      <c r="G46" s="51">
        <v>3</v>
      </c>
      <c r="H46" s="51"/>
      <c r="I46" s="51"/>
      <c r="J46" s="51">
        <v>7</v>
      </c>
      <c r="K46" s="37" t="s">
        <v>1243</v>
      </c>
      <c r="L46" s="50"/>
      <c r="M46" s="4" t="s">
        <v>5</v>
      </c>
      <c r="N46" s="25">
        <v>83.44</v>
      </c>
      <c r="O46" s="25"/>
      <c r="P46" s="25"/>
      <c r="Q46" s="25"/>
      <c r="R46" s="25"/>
      <c r="S46" s="25"/>
      <c r="T46" s="25">
        <v>27.6</v>
      </c>
      <c r="U46" s="25">
        <v>111.03999999999999</v>
      </c>
      <c r="V46" s="30">
        <v>22.8287841191067</v>
      </c>
      <c r="W46" s="30">
        <v>69.015715467328377</v>
      </c>
      <c r="X46" s="31"/>
      <c r="Y46" s="31"/>
      <c r="Z46" s="31"/>
      <c r="AA46" s="31"/>
      <c r="AB46" s="31"/>
      <c r="AC46" s="31"/>
      <c r="AD46" s="31"/>
      <c r="AE46" s="32"/>
      <c r="AF46" s="16"/>
      <c r="AG46" s="3"/>
      <c r="AH46" s="4"/>
      <c r="AI46" s="6">
        <v>1209</v>
      </c>
      <c r="AJ46" s="38">
        <v>100</v>
      </c>
      <c r="AK46" s="3"/>
      <c r="AL46" s="1" t="s">
        <v>421</v>
      </c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>
        <v>31</v>
      </c>
      <c r="BD46" s="37">
        <v>26.3</v>
      </c>
      <c r="BE46" s="37">
        <v>25.6</v>
      </c>
      <c r="BF46" s="37">
        <v>25.4</v>
      </c>
      <c r="BG46" s="42">
        <v>78.900000000000006</v>
      </c>
      <c r="BH46" s="42"/>
      <c r="BI46" s="42"/>
      <c r="BJ46" s="42"/>
      <c r="BK46" s="44">
        <v>78.900000000000006</v>
      </c>
      <c r="BL46" s="44">
        <v>27.075000000000003</v>
      </c>
      <c r="BM46" s="44">
        <f>+BK46+BL46</f>
        <v>105.97500000000001</v>
      </c>
      <c r="BN46" s="47">
        <v>92.82352941176471</v>
      </c>
      <c r="BO46" s="47">
        <v>31.852941176470594</v>
      </c>
      <c r="BP46" s="45">
        <v>124.6764705882353</v>
      </c>
      <c r="BQ46" s="9">
        <v>850</v>
      </c>
      <c r="BR46" s="4" t="s">
        <v>974</v>
      </c>
      <c r="BS46" s="4">
        <v>2009</v>
      </c>
      <c r="BT46" s="4" t="s">
        <v>975</v>
      </c>
      <c r="BU46" s="4" t="s">
        <v>976</v>
      </c>
      <c r="BV46" s="4" t="s">
        <v>898</v>
      </c>
      <c r="BW46" s="1" t="s">
        <v>972</v>
      </c>
      <c r="BX46" s="4" t="s">
        <v>977</v>
      </c>
      <c r="BY46" s="9">
        <f>+INT(BK46*faktorji!$B$3)</f>
        <v>5128</v>
      </c>
      <c r="BZ46" s="9">
        <f>+INT(BL46*faktorji!$B$4)</f>
        <v>4467</v>
      </c>
      <c r="CA46" s="4"/>
      <c r="CB46" s="4">
        <v>0</v>
      </c>
      <c r="CC46" s="4">
        <v>0</v>
      </c>
      <c r="CD46" s="4">
        <v>0</v>
      </c>
      <c r="CE46" s="4">
        <v>0</v>
      </c>
      <c r="CF46" s="4">
        <v>1</v>
      </c>
      <c r="CG46" s="4">
        <v>1</v>
      </c>
      <c r="CH46" s="4">
        <v>1</v>
      </c>
      <c r="CI46" s="9">
        <f>+BQ46*(CB46*faktorji!$B$21+'MOL_tabela rezultatov'!CF292*faktorji!$B$23+'MOL_tabela rezultatov'!CH292*faktorji!$B$26)+faktorji!$B$27*CG46</f>
        <v>19275</v>
      </c>
      <c r="CJ46" s="9">
        <f>+(BZ46*CF46*faktorji!$B$18)+(CG46*faktorji!$B$17*('MOL_tabela rezultatov'!BY292+'MOL_tabela rezultatov'!BZ292))+('MOL_tabela rezultatov'!CH292*faktorji!$B$16*'MOL_tabela rezultatov'!BY292)+('MOL_tabela rezultatov'!CB292*faktorji!$B$12*'MOL_tabela rezultatov'!BY292)</f>
        <v>11538.650000000001</v>
      </c>
      <c r="CK46" s="66">
        <f>+CI46/CJ46</f>
        <v>1.6704727156123114</v>
      </c>
      <c r="CL46" s="3" t="str">
        <f>CONCATENATE(IF(CB46&gt;0,"kotlovnica/toplotna postaja, ",""),IF(CF46&gt;0,"razsvetljava, ",""),IF(CG46&gt;0,"energetsko upravljanje, ",""),IF(CH46&gt;0,"manjši investicijski in organizacijski ukrepi, ",""))</f>
        <v xml:space="preserve">razsvetljava, energetsko upravljanje, manjši investicijski in organizacijski ukrepi, </v>
      </c>
      <c r="CM46" s="9">
        <f>+CJ46*0.9</f>
        <v>10384.785000000002</v>
      </c>
      <c r="CN46" s="9">
        <f>+CJ46*0.9</f>
        <v>10384.785000000002</v>
      </c>
      <c r="CO46" s="9">
        <f>+CJ46*0.9</f>
        <v>10384.785000000002</v>
      </c>
      <c r="CP46" s="69">
        <f>+IF(CI46-SUM(CM46:CO46)&lt;0,0,CI46-SUM(CM46:CO46))</f>
        <v>0</v>
      </c>
      <c r="CQ46" s="9">
        <f>+(BQ46*CE46*faktorji!$B$24)+(BQ46^0.5*CC46*4*4*0.66*faktorji!$B$22)+(BQ46^0.5*CD46*4*4*0.33*faktorji!$B$25)</f>
        <v>0</v>
      </c>
      <c r="CR46" s="3" t="str">
        <f t="shared" si="1"/>
        <v/>
      </c>
      <c r="CS46" s="9">
        <f>+BQ46*('MOL_tabela rezultatov'!CH46*faktorji!$B$26)+faktorji!$B$27*CG46</f>
        <v>19275</v>
      </c>
      <c r="CT46" s="3" t="str">
        <f t="shared" si="0"/>
        <v xml:space="preserve">energetsko upravljanje, manjši investicijski in organizacijski ukrepi, </v>
      </c>
      <c r="CU46" s="9">
        <f t="shared" si="2"/>
        <v>4818.75</v>
      </c>
      <c r="CV46" s="9">
        <f t="shared" ref="CV46:CX46" si="15">+CU46</f>
        <v>4818.75</v>
      </c>
      <c r="CW46" s="9">
        <f t="shared" si="15"/>
        <v>4818.75</v>
      </c>
      <c r="CX46" s="69">
        <f t="shared" si="15"/>
        <v>4818.75</v>
      </c>
    </row>
    <row r="47" spans="1:102" s="10" customFormat="1" ht="18" hidden="1" customHeight="1">
      <c r="A47" s="54" t="s">
        <v>804</v>
      </c>
      <c r="B47" s="3" t="s">
        <v>805</v>
      </c>
      <c r="C47" s="56"/>
      <c r="D47" s="56"/>
      <c r="E47" s="51" t="s">
        <v>1176</v>
      </c>
      <c r="F47" s="51"/>
      <c r="G47" s="51">
        <v>3</v>
      </c>
      <c r="H47" s="51"/>
      <c r="I47" s="51"/>
      <c r="J47" s="51">
        <v>7</v>
      </c>
      <c r="K47" s="37" t="s">
        <v>1243</v>
      </c>
      <c r="L47" s="50"/>
      <c r="M47" s="4" t="s">
        <v>5</v>
      </c>
      <c r="N47" s="25">
        <v>65.849999999999994</v>
      </c>
      <c r="O47" s="25"/>
      <c r="P47" s="25"/>
      <c r="Q47" s="25"/>
      <c r="R47" s="25"/>
      <c r="S47" s="25"/>
      <c r="T47" s="25">
        <v>14.2</v>
      </c>
      <c r="U47" s="25">
        <v>80.05</v>
      </c>
      <c r="V47" s="30">
        <v>38.378378378378372</v>
      </c>
      <c r="W47" s="30">
        <v>177.97297297297297</v>
      </c>
      <c r="X47" s="31"/>
      <c r="Y47" s="31"/>
      <c r="Z47" s="31"/>
      <c r="AA47" s="31"/>
      <c r="AB47" s="31"/>
      <c r="AC47" s="31"/>
      <c r="AD47" s="31"/>
      <c r="AE47" s="32"/>
      <c r="AF47" s="16"/>
      <c r="AG47" s="3"/>
      <c r="AH47" s="4"/>
      <c r="AI47" s="6">
        <v>370</v>
      </c>
      <c r="AJ47" s="38">
        <v>100</v>
      </c>
      <c r="AK47" s="3"/>
      <c r="AL47" s="1" t="s">
        <v>421</v>
      </c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>
        <v>8</v>
      </c>
      <c r="BD47" s="37">
        <v>10.4</v>
      </c>
      <c r="BE47" s="37">
        <v>12.4</v>
      </c>
      <c r="BF47" s="37">
        <v>9.9</v>
      </c>
      <c r="BG47" s="42">
        <v>76.23</v>
      </c>
      <c r="BH47" s="42"/>
      <c r="BI47" s="42"/>
      <c r="BJ47" s="42"/>
      <c r="BK47" s="44">
        <v>76.23</v>
      </c>
      <c r="BL47" s="44">
        <v>10.174999999999999</v>
      </c>
      <c r="BM47" s="44">
        <f>+BK47+BL47</f>
        <v>86.405000000000001</v>
      </c>
      <c r="BN47" s="47">
        <v>196.46907216494844</v>
      </c>
      <c r="BO47" s="47">
        <v>26.224226804123706</v>
      </c>
      <c r="BP47" s="45">
        <v>222.69329896907217</v>
      </c>
      <c r="BQ47" s="9">
        <v>388</v>
      </c>
      <c r="BR47" s="4">
        <v>75</v>
      </c>
      <c r="BS47" s="4">
        <v>2007</v>
      </c>
      <c r="BT47" s="4" t="s">
        <v>872</v>
      </c>
      <c r="BU47" s="4" t="s">
        <v>971</v>
      </c>
      <c r="BV47" s="4" t="s">
        <v>973</v>
      </c>
      <c r="BW47" s="1" t="s">
        <v>972</v>
      </c>
      <c r="BX47" s="4"/>
      <c r="BY47" s="9">
        <f>+INT(BK47*faktorji!$B$3)</f>
        <v>4954</v>
      </c>
      <c r="BZ47" s="9">
        <f>+INT(BL47*faktorji!$B$4)</f>
        <v>1678</v>
      </c>
      <c r="CA47" s="4"/>
      <c r="CB47" s="4">
        <v>0</v>
      </c>
      <c r="CC47" s="4">
        <v>1</v>
      </c>
      <c r="CD47" s="4">
        <v>1</v>
      </c>
      <c r="CE47" s="4">
        <v>1</v>
      </c>
      <c r="CF47" s="4">
        <v>1</v>
      </c>
      <c r="CG47" s="4">
        <v>1</v>
      </c>
      <c r="CH47" s="4">
        <v>1</v>
      </c>
      <c r="CI47" s="9">
        <f>+BQ47*(CB47*faktorji!$B$21+'MOL_tabela rezultatov'!CF293*faktorji!$B$23+'MOL_tabela rezultatov'!CH293*faktorji!$B$26)+faktorji!$B$27*CG47</f>
        <v>18000</v>
      </c>
      <c r="CJ47" s="9">
        <f>+(BZ47*CF47*faktorji!$B$18)+(CG47*faktorji!$B$17*('MOL_tabela rezultatov'!BY293+'MOL_tabela rezultatov'!BZ293))+('MOL_tabela rezultatov'!CH293*faktorji!$B$16*'MOL_tabela rezultatov'!BY293)+('MOL_tabela rezultatov'!CB293*faktorji!$B$12*'MOL_tabela rezultatov'!BY293)</f>
        <v>1386.7</v>
      </c>
      <c r="CK47" s="66">
        <f>+CI47/CJ47</f>
        <v>12.980457200548063</v>
      </c>
      <c r="CL47" s="3" t="str">
        <f>CONCATENATE(IF(CB47&gt;0,"kotlovnica/toplotna postaja, ",""),IF(CF47&gt;0,"razsvetljava, ",""),IF(CG47&gt;0,"energetsko upravljanje, ",""),IF(CH47&gt;0,"manjši investicijski in organizacijski ukrepi, ",""))</f>
        <v xml:space="preserve">razsvetljava, energetsko upravljanje, manjši investicijski in organizacijski ukrepi, </v>
      </c>
      <c r="CM47" s="9">
        <f>+CJ47*0.9</f>
        <v>1248.03</v>
      </c>
      <c r="CN47" s="9">
        <f>+CJ47*0.9</f>
        <v>1248.03</v>
      </c>
      <c r="CO47" s="9">
        <f>+CJ47*0.9</f>
        <v>1248.03</v>
      </c>
      <c r="CP47" s="69">
        <f>+IF(CI47-SUM(CM47:CO47)&lt;0,0,CI47-SUM(CM47:CO47))</f>
        <v>14255.91</v>
      </c>
      <c r="CQ47" s="9">
        <f>+(BQ47*CE47*faktorji!$B$24)+(BQ47^0.5*CC47*4*4*0.66*faktorji!$B$22)+(BQ47^0.5*CD47*4*4*0.33*faktorji!$B$25)</f>
        <v>48321.535970917073</v>
      </c>
      <c r="CR47" s="3" t="str">
        <f t="shared" si="1"/>
        <v xml:space="preserve">izolacija ovoja, stavbno pohištvo, izolacija podstrešja, </v>
      </c>
      <c r="CS47" s="9">
        <f>+BQ47*('MOL_tabela rezultatov'!CH47*faktorji!$B$26)+faktorji!$B$27*CG47</f>
        <v>18582</v>
      </c>
      <c r="CT47" s="3" t="str">
        <f t="shared" si="0"/>
        <v xml:space="preserve">energetsko upravljanje, manjši investicijski in organizacijski ukrepi, </v>
      </c>
      <c r="CU47" s="9">
        <f t="shared" si="2"/>
        <v>4645.5</v>
      </c>
      <c r="CV47" s="9">
        <f t="shared" ref="CV47:CX47" si="16">+CU47</f>
        <v>4645.5</v>
      </c>
      <c r="CW47" s="9">
        <f t="shared" si="16"/>
        <v>4645.5</v>
      </c>
      <c r="CX47" s="69">
        <f t="shared" si="16"/>
        <v>4645.5</v>
      </c>
    </row>
    <row r="48" spans="1:102" s="10" customFormat="1" ht="18" hidden="1" customHeight="1">
      <c r="A48" s="53" t="s">
        <v>297</v>
      </c>
      <c r="B48" s="2" t="s">
        <v>298</v>
      </c>
      <c r="C48" s="57"/>
      <c r="D48" s="57"/>
      <c r="E48" s="51" t="s">
        <v>1174</v>
      </c>
      <c r="F48" s="51"/>
      <c r="G48" s="51">
        <v>4</v>
      </c>
      <c r="H48" s="51"/>
      <c r="I48" s="51"/>
      <c r="J48" s="51">
        <v>7</v>
      </c>
      <c r="K48" s="37" t="s">
        <v>1244</v>
      </c>
      <c r="L48" s="50"/>
      <c r="M48" s="4" t="s">
        <v>5</v>
      </c>
      <c r="N48" s="25">
        <v>70</v>
      </c>
      <c r="O48" s="25"/>
      <c r="P48" s="25"/>
      <c r="Q48" s="25"/>
      <c r="R48" s="25"/>
      <c r="S48" s="25"/>
      <c r="T48" s="25">
        <v>21.13</v>
      </c>
      <c r="U48" s="25">
        <v>91.13</v>
      </c>
      <c r="V48" s="30">
        <v>43.567010309278352</v>
      </c>
      <c r="W48" s="30">
        <v>144.32989690721649</v>
      </c>
      <c r="X48" s="31">
        <v>70</v>
      </c>
      <c r="Y48" s="31"/>
      <c r="Z48" s="31"/>
      <c r="AA48" s="31"/>
      <c r="AB48" s="31"/>
      <c r="AC48" s="31"/>
      <c r="AD48" s="31"/>
      <c r="AE48" s="32">
        <v>144.32989690721649</v>
      </c>
      <c r="AF48" s="1"/>
      <c r="AG48" s="4"/>
      <c r="AH48" s="4"/>
      <c r="AI48" s="6">
        <v>485</v>
      </c>
      <c r="AJ48" s="38">
        <v>100</v>
      </c>
      <c r="AK48" s="3"/>
      <c r="AL48" s="1" t="s">
        <v>127</v>
      </c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42">
        <v>60.86</v>
      </c>
      <c r="BH48" s="42"/>
      <c r="BI48" s="42"/>
      <c r="BJ48" s="42"/>
      <c r="BK48" s="44">
        <v>60.86</v>
      </c>
      <c r="BL48" s="44">
        <v>21.13</v>
      </c>
      <c r="BM48" s="44">
        <f>+BK48+BL48</f>
        <v>81.99</v>
      </c>
      <c r="BN48" s="47">
        <v>125.48453608247422</v>
      </c>
      <c r="BO48" s="47">
        <v>43.567010309278352</v>
      </c>
      <c r="BP48" s="45">
        <v>169.05154639175257</v>
      </c>
      <c r="BQ48" s="6">
        <v>485</v>
      </c>
      <c r="BR48" s="4"/>
      <c r="BS48" s="4"/>
      <c r="BT48" s="4"/>
      <c r="BU48" s="4"/>
      <c r="BV48" s="4"/>
      <c r="BW48" s="4"/>
      <c r="BX48" s="4"/>
      <c r="BY48" s="9">
        <f>+INT(BK48*faktorji!$B$3)</f>
        <v>3955</v>
      </c>
      <c r="BZ48" s="9">
        <f>+INT(BL48*faktorji!$B$4)</f>
        <v>3486</v>
      </c>
      <c r="CA48" s="4"/>
      <c r="CB48" s="4">
        <v>0</v>
      </c>
      <c r="CC48" s="4">
        <v>0</v>
      </c>
      <c r="CD48" s="4">
        <v>0</v>
      </c>
      <c r="CE48" s="4">
        <v>0</v>
      </c>
      <c r="CF48" s="4">
        <v>1</v>
      </c>
      <c r="CG48" s="4">
        <v>1</v>
      </c>
      <c r="CH48" s="4">
        <v>1</v>
      </c>
      <c r="CI48" s="9">
        <f>+BQ48*(CB48*faktorji!$B$21+'MOL_tabela rezultatov'!CF116*faktorji!$B$23+'MOL_tabela rezultatov'!CH116*faktorji!$B$26)+faktorji!$B$27*CG48</f>
        <v>18000</v>
      </c>
      <c r="CJ48" s="9">
        <f>+(BZ48*CF48*faktorji!$B$18)+(CG48*faktorji!$B$17*('MOL_tabela rezultatov'!BY116+'MOL_tabela rezultatov'!BZ116))+('MOL_tabela rezultatov'!CH116*faktorji!$B$16*'MOL_tabela rezultatov'!BY116)+('MOL_tabela rezultatov'!CB116*faktorji!$B$12*'MOL_tabela rezultatov'!BY116)</f>
        <v>3173.9</v>
      </c>
      <c r="CK48" s="66">
        <f>+CI48/CJ48</f>
        <v>5.6712561832445889</v>
      </c>
      <c r="CL48" s="3" t="str">
        <f>CONCATENATE(IF(CB48&gt;0,"kotlovnica/toplotna postaja, ",""),IF(CF48&gt;0,"razsvetljava, ",""),IF(CG48&gt;0,"energetsko upravljanje, ",""),IF(CH48&gt;0,"manjši investicijski in organizacijski ukrepi, ",""))</f>
        <v xml:space="preserve">razsvetljava, energetsko upravljanje, manjši investicijski in organizacijski ukrepi, </v>
      </c>
      <c r="CM48" s="9">
        <f>+CJ48*0.9</f>
        <v>2856.51</v>
      </c>
      <c r="CN48" s="9">
        <f>+CJ48*0.9</f>
        <v>2856.51</v>
      </c>
      <c r="CO48" s="9">
        <f>+CJ48*0.9</f>
        <v>2856.51</v>
      </c>
      <c r="CP48" s="69">
        <f>+IF(CI48-SUM(CM48:CO48)&lt;0,0,CI48-SUM(CM48:CO48))</f>
        <v>9430.4699999999993</v>
      </c>
      <c r="CQ48" s="9">
        <f>+(BQ48*CE48*faktorji!$B$24)+(BQ48^0.5*CC48*4*4*0.66*faktorji!$B$22)+(BQ48^0.5*CD48*4*4*0.33*faktorji!$B$25)</f>
        <v>0</v>
      </c>
      <c r="CR48" s="3" t="str">
        <f t="shared" si="1"/>
        <v/>
      </c>
      <c r="CS48" s="9">
        <f>+BQ48*('MOL_tabela rezultatov'!CH48*faktorji!$B$26)+faktorji!$B$27*CG48</f>
        <v>18727.5</v>
      </c>
      <c r="CT48" s="3" t="str">
        <f t="shared" si="0"/>
        <v xml:space="preserve">energetsko upravljanje, manjši investicijski in organizacijski ukrepi, </v>
      </c>
      <c r="CU48" s="9">
        <f t="shared" si="2"/>
        <v>4681.875</v>
      </c>
      <c r="CV48" s="9">
        <f t="shared" ref="CV48:CX48" si="17">+CU48</f>
        <v>4681.875</v>
      </c>
      <c r="CW48" s="9">
        <f t="shared" si="17"/>
        <v>4681.875</v>
      </c>
      <c r="CX48" s="69">
        <f t="shared" si="17"/>
        <v>4681.875</v>
      </c>
    </row>
    <row r="49" spans="1:102" s="10" customFormat="1" ht="18" hidden="1" customHeight="1">
      <c r="A49" s="53" t="s">
        <v>157</v>
      </c>
      <c r="B49" s="2" t="s">
        <v>158</v>
      </c>
      <c r="C49" s="57"/>
      <c r="D49" s="57"/>
      <c r="E49" s="51" t="s">
        <v>1169</v>
      </c>
      <c r="F49" s="51"/>
      <c r="G49" s="51">
        <v>4</v>
      </c>
      <c r="H49" s="51"/>
      <c r="I49" s="51"/>
      <c r="J49" s="51">
        <v>6</v>
      </c>
      <c r="K49" s="37" t="s">
        <v>1241</v>
      </c>
      <c r="L49" s="50"/>
      <c r="M49" s="1" t="s">
        <v>1186</v>
      </c>
      <c r="N49" s="25"/>
      <c r="O49" s="25"/>
      <c r="P49" s="25"/>
      <c r="Q49" s="25">
        <v>8.2799999999999994</v>
      </c>
      <c r="R49" s="25"/>
      <c r="S49" s="25"/>
      <c r="T49" s="25">
        <v>0.82799999999999996</v>
      </c>
      <c r="U49" s="25">
        <v>0.82799999999999996</v>
      </c>
      <c r="V49" s="30">
        <v>16.140350877192983</v>
      </c>
      <c r="W49" s="30">
        <v>161.40350877192984</v>
      </c>
      <c r="X49" s="31"/>
      <c r="Y49" s="31"/>
      <c r="Z49" s="31"/>
      <c r="AA49" s="31">
        <v>7.16</v>
      </c>
      <c r="AB49" s="31"/>
      <c r="AC49" s="31">
        <v>0.5</v>
      </c>
      <c r="AD49" s="31"/>
      <c r="AE49" s="32">
        <v>139.5711500974659</v>
      </c>
      <c r="AF49" s="1"/>
      <c r="AG49" s="4"/>
      <c r="AH49" s="4">
        <v>1950</v>
      </c>
      <c r="AI49" s="6">
        <v>51.3</v>
      </c>
      <c r="AJ49" s="38">
        <v>7.8</v>
      </c>
      <c r="AK49" s="3"/>
      <c r="AL49" s="1" t="s">
        <v>159</v>
      </c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42">
        <v>0</v>
      </c>
      <c r="BH49" s="42">
        <v>6.1097999999999999</v>
      </c>
      <c r="BI49" s="42"/>
      <c r="BJ49" s="42"/>
      <c r="BK49" s="44">
        <v>6.1097999999999999</v>
      </c>
      <c r="BL49" s="44">
        <v>9.1999999999999993</v>
      </c>
      <c r="BM49" s="44">
        <f>+BK49+BL49</f>
        <v>15.309799999999999</v>
      </c>
      <c r="BN49" s="47">
        <v>119.8</v>
      </c>
      <c r="BO49" s="47">
        <v>180.39215686274511</v>
      </c>
      <c r="BP49" s="45">
        <v>300.19215686274509</v>
      </c>
      <c r="BQ49" s="9">
        <v>51</v>
      </c>
      <c r="BR49" s="4"/>
      <c r="BS49" s="4"/>
      <c r="BT49" s="4"/>
      <c r="BU49" s="4"/>
      <c r="BV49" s="4"/>
      <c r="BW49" s="4"/>
      <c r="BX49" s="4"/>
      <c r="BY49" s="9">
        <f>+INT(BK49*faktorji!$B$4)</f>
        <v>1008</v>
      </c>
      <c r="BZ49" s="9">
        <f>+INT(BL49*faktorji!$B$4)</f>
        <v>1518</v>
      </c>
      <c r="CA49" s="4"/>
      <c r="CB49" s="4">
        <v>0</v>
      </c>
      <c r="CC49" s="4">
        <v>0</v>
      </c>
      <c r="CD49" s="4">
        <v>0</v>
      </c>
      <c r="CE49" s="4">
        <v>0</v>
      </c>
      <c r="CF49" s="4">
        <v>1</v>
      </c>
      <c r="CG49" s="4">
        <v>1</v>
      </c>
      <c r="CH49" s="4">
        <v>1</v>
      </c>
      <c r="CI49" s="9">
        <f>+BQ49*(CB49*faktorji!$B$21+'MOL_tabela rezultatov'!CF55*faktorji!$B$23+'MOL_tabela rezultatov'!CH55*faktorji!$B$26)+faktorji!$B$27*CG49</f>
        <v>18076.5</v>
      </c>
      <c r="CJ49" s="9">
        <f>+(BZ49*CF49*faktorji!$B$18)+(CG49*faktorji!$B$17*('MOL_tabela rezultatov'!BY55+'MOL_tabela rezultatov'!BZ55))+('MOL_tabela rezultatov'!CH55*faktorji!$B$16*'MOL_tabela rezultatov'!BY55)+('MOL_tabela rezultatov'!CB55*faktorji!$B$12*'MOL_tabela rezultatov'!BY55)</f>
        <v>8552.6</v>
      </c>
      <c r="CK49" s="66">
        <f>+CI49/CJ49</f>
        <v>2.1135678039426606</v>
      </c>
      <c r="CL49" s="3" t="str">
        <f>CONCATENATE(IF(CB49&gt;0,"kotlovnica/toplotna postaja, ",""),IF(CF49&gt;0,"razsvetljava, ",""),IF(CG49&gt;0,"energetsko upravljanje, ",""),IF(CH49&gt;0,"manjši investicijski in organizacijski ukrepi, ",""))</f>
        <v xml:space="preserve">razsvetljava, energetsko upravljanje, manjši investicijski in organizacijski ukrepi, </v>
      </c>
      <c r="CM49" s="9">
        <f>+CJ49*0.9</f>
        <v>7697.34</v>
      </c>
      <c r="CN49" s="9">
        <f>+CJ49*0.9</f>
        <v>7697.34</v>
      </c>
      <c r="CO49" s="9">
        <f>+CJ49*0.9</f>
        <v>7697.34</v>
      </c>
      <c r="CP49" s="69">
        <f>+IF(CI49-SUM(CM49:CO49)&lt;0,0,CI49-SUM(CM49:CO49))</f>
        <v>0</v>
      </c>
      <c r="CQ49" s="9">
        <f>+(BQ49*CE49*faktorji!$B$24)+(BQ49^0.5*CC49*4*4*0.66*faktorji!$B$22)+(BQ49^0.5*CD49*4*4*0.33*faktorji!$B$25)</f>
        <v>0</v>
      </c>
      <c r="CR49" s="3" t="str">
        <f t="shared" si="1"/>
        <v/>
      </c>
      <c r="CS49" s="9">
        <f>+BQ49*('MOL_tabela rezultatov'!CH49*faktorji!$B$26)+faktorji!$B$27*CG49</f>
        <v>18076.5</v>
      </c>
      <c r="CT49" s="3" t="str">
        <f t="shared" si="0"/>
        <v xml:space="preserve">energetsko upravljanje, manjši investicijski in organizacijski ukrepi, </v>
      </c>
      <c r="CU49" s="9">
        <f t="shared" si="2"/>
        <v>4519.125</v>
      </c>
      <c r="CV49" s="9">
        <f t="shared" ref="CV49:CX49" si="18">+CU49</f>
        <v>4519.125</v>
      </c>
      <c r="CW49" s="9">
        <f t="shared" si="18"/>
        <v>4519.125</v>
      </c>
      <c r="CX49" s="69">
        <f t="shared" si="18"/>
        <v>4519.125</v>
      </c>
    </row>
    <row r="50" spans="1:102" s="10" customFormat="1" ht="18" hidden="1" customHeight="1">
      <c r="A50" s="53" t="s">
        <v>727</v>
      </c>
      <c r="B50" s="2" t="s">
        <v>728</v>
      </c>
      <c r="C50" s="57"/>
      <c r="D50" s="57"/>
      <c r="E50" s="51" t="s">
        <v>1176</v>
      </c>
      <c r="F50" s="51"/>
      <c r="G50" s="51">
        <v>2</v>
      </c>
      <c r="H50" s="71" t="s">
        <v>1255</v>
      </c>
      <c r="I50" s="71"/>
      <c r="J50" s="51">
        <v>1</v>
      </c>
      <c r="K50" s="37" t="s">
        <v>1243</v>
      </c>
      <c r="L50" s="50"/>
      <c r="M50" s="110" t="s">
        <v>5</v>
      </c>
      <c r="N50" s="25">
        <v>214</v>
      </c>
      <c r="O50" s="25"/>
      <c r="P50" s="25"/>
      <c r="Q50" s="25"/>
      <c r="R50" s="25"/>
      <c r="S50" s="25"/>
      <c r="T50" s="25">
        <v>71.8</v>
      </c>
      <c r="U50" s="25">
        <v>285.8</v>
      </c>
      <c r="V50" s="30">
        <v>51.066856330014225</v>
      </c>
      <c r="W50" s="30">
        <v>152.20483641536273</v>
      </c>
      <c r="X50" s="31"/>
      <c r="Y50" s="31"/>
      <c r="Z50" s="31"/>
      <c r="AA50" s="31"/>
      <c r="AB50" s="31"/>
      <c r="AC50" s="31"/>
      <c r="AD50" s="31"/>
      <c r="AE50" s="32"/>
      <c r="AF50" s="16" t="s">
        <v>468</v>
      </c>
      <c r="AG50" s="3"/>
      <c r="AH50" s="4"/>
      <c r="AI50" s="6">
        <v>1406</v>
      </c>
      <c r="AJ50" s="38">
        <v>100</v>
      </c>
      <c r="AK50" s="3"/>
      <c r="AL50" s="1" t="s">
        <v>432</v>
      </c>
      <c r="AM50" s="37"/>
      <c r="AN50" s="37"/>
      <c r="AO50" s="37"/>
      <c r="AP50" s="37"/>
      <c r="AQ50" s="37">
        <f>207+98.4</f>
        <v>305.39999999999998</v>
      </c>
      <c r="AR50" s="37">
        <f>215+93.9</f>
        <v>308.89999999999998</v>
      </c>
      <c r="AS50" s="37">
        <f>202+104.6</f>
        <v>306.60000000000002</v>
      </c>
      <c r="AT50" s="37">
        <f>201+94</f>
        <v>295</v>
      </c>
      <c r="AU50" s="37"/>
      <c r="AV50" s="37"/>
      <c r="AW50" s="37"/>
      <c r="AX50" s="37"/>
      <c r="AY50" s="37"/>
      <c r="AZ50" s="37"/>
      <c r="BA50" s="37"/>
      <c r="BB50" s="37"/>
      <c r="BC50" s="37">
        <v>73.400000000000006</v>
      </c>
      <c r="BD50" s="37">
        <v>76.7</v>
      </c>
      <c r="BE50" s="37">
        <v>80.099999999999994</v>
      </c>
      <c r="BF50" s="37">
        <v>77.7</v>
      </c>
      <c r="BG50" s="42"/>
      <c r="BH50" s="42">
        <v>303.97500000000002</v>
      </c>
      <c r="BI50" s="42"/>
      <c r="BJ50" s="42"/>
      <c r="BK50" s="107">
        <v>181</v>
      </c>
      <c r="BL50" s="107">
        <v>75</v>
      </c>
      <c r="BM50" s="107">
        <f>+BK50+BL50</f>
        <v>256</v>
      </c>
      <c r="BN50" s="108">
        <f>+BK50*1000/BQ50</f>
        <v>129.00926585887385</v>
      </c>
      <c r="BO50" s="108">
        <f>+BL50*1000/BQ50</f>
        <v>53.456878118317888</v>
      </c>
      <c r="BP50" s="109">
        <f>+BO50+BN50</f>
        <v>182.46614397719173</v>
      </c>
      <c r="BQ50" s="106">
        <v>1403</v>
      </c>
      <c r="BR50" s="110" t="s">
        <v>1433</v>
      </c>
      <c r="BS50" s="110">
        <v>2014</v>
      </c>
      <c r="BT50" s="110" t="s">
        <v>872</v>
      </c>
      <c r="BU50" s="4" t="s">
        <v>928</v>
      </c>
      <c r="BV50" s="4"/>
      <c r="BW50" s="4"/>
      <c r="BX50" s="4" t="s">
        <v>929</v>
      </c>
      <c r="BY50" s="106">
        <v>10770</v>
      </c>
      <c r="BZ50" s="106">
        <v>11020</v>
      </c>
      <c r="CA50" s="114" t="s">
        <v>1324</v>
      </c>
      <c r="CB50" s="4">
        <v>1</v>
      </c>
      <c r="CC50" s="4">
        <v>1</v>
      </c>
      <c r="CD50" s="4">
        <v>1</v>
      </c>
      <c r="CE50" s="4">
        <v>1</v>
      </c>
      <c r="CF50" s="4">
        <v>1</v>
      </c>
      <c r="CG50" s="4">
        <v>1</v>
      </c>
      <c r="CH50" s="4">
        <v>1</v>
      </c>
      <c r="CI50" s="106">
        <v>48500</v>
      </c>
      <c r="CJ50" s="106">
        <f>+(BZ50*CF50*faktorji!$B$18)+(CG50*faktorji!$B$17*('MOL_tabela rezultatov'!BY266+'MOL_tabela rezultatov'!BZ266))+('MOL_tabela rezultatov'!CH266*faktorji!$B$16*'MOL_tabela rezultatov'!BY266)+('MOL_tabela rezultatov'!CB266*faktorji!$B$12*'MOL_tabela rezultatov'!BY266)</f>
        <v>4675.1000000000004</v>
      </c>
      <c r="CK50" s="115">
        <f>+CI50/CJ50</f>
        <v>10.374109644713482</v>
      </c>
      <c r="CL50" s="3" t="str">
        <f>CONCATENATE(IF(CB50&gt;0,"kotlovnica/toplotna postaja, ",""),IF(CF50&gt;0,"razsvetljava, ",""),IF(CG50&gt;0,"energetsko upravljanje, ",""),IF(CH50&gt;0,"manjši investicijski in organizacijski ukrepi, ",""))</f>
        <v xml:space="preserve">kotlovnica/toplotna postaja, razsvetljava, energetsko upravljanje, manjši investicijski in organizacijski ukrepi, </v>
      </c>
      <c r="CM50" s="9">
        <f>+CJ50*0.9</f>
        <v>4207.59</v>
      </c>
      <c r="CN50" s="9">
        <f>+CJ50*0.9</f>
        <v>4207.59</v>
      </c>
      <c r="CO50" s="9">
        <f>+CJ50*0.9</f>
        <v>4207.59</v>
      </c>
      <c r="CP50" s="69">
        <f>+IF(CI50-SUM(CM50:CO50)&lt;0,0,CI50-SUM(CM50:CO50))</f>
        <v>35877.229999999996</v>
      </c>
      <c r="CQ50" s="9">
        <f>+(BQ50*CE50*faktorji!$B$24)+(BQ50^0.5*CC50*4*4*0.66*faktorji!$B$22)+(BQ50^0.5*CD50*4*4*0.33*faktorji!$B$25)</f>
        <v>105190.71638407101</v>
      </c>
      <c r="CR50" s="3" t="str">
        <f t="shared" si="1"/>
        <v xml:space="preserve">izolacija ovoja, stavbno pohištvo, izolacija podstrešja, </v>
      </c>
      <c r="CS50" s="9">
        <f>+BQ50*('MOL_tabela rezultatov'!CH50*faktorji!$B$26)+faktorji!$B$27*CG50</f>
        <v>20104.5</v>
      </c>
      <c r="CT50" s="3" t="str">
        <f t="shared" si="0"/>
        <v xml:space="preserve">energetsko upravljanje, manjši investicijski in organizacijski ukrepi, </v>
      </c>
      <c r="CU50" s="9">
        <f t="shared" si="2"/>
        <v>5026.125</v>
      </c>
      <c r="CV50" s="9">
        <f t="shared" ref="CV50:CX50" si="19">+CU50</f>
        <v>5026.125</v>
      </c>
      <c r="CW50" s="9">
        <f t="shared" si="19"/>
        <v>5026.125</v>
      </c>
      <c r="CX50" s="69">
        <f t="shared" si="19"/>
        <v>5026.125</v>
      </c>
    </row>
    <row r="51" spans="1:102" s="10" customFormat="1" ht="18" hidden="1" customHeight="1">
      <c r="A51" s="54" t="s">
        <v>206</v>
      </c>
      <c r="B51" s="3" t="s">
        <v>213</v>
      </c>
      <c r="C51" s="56"/>
      <c r="D51" s="56"/>
      <c r="E51" s="51" t="s">
        <v>1172</v>
      </c>
      <c r="F51" s="51"/>
      <c r="G51" s="51">
        <v>4</v>
      </c>
      <c r="H51" s="51"/>
      <c r="I51" s="51"/>
      <c r="J51" s="51">
        <v>7</v>
      </c>
      <c r="K51" s="37" t="s">
        <v>1243</v>
      </c>
      <c r="L51" s="50"/>
      <c r="M51" s="4" t="s">
        <v>5</v>
      </c>
      <c r="N51" s="25">
        <v>26.17</v>
      </c>
      <c r="O51" s="25"/>
      <c r="P51" s="25"/>
      <c r="Q51" s="25"/>
      <c r="R51" s="25"/>
      <c r="S51" s="25"/>
      <c r="T51" s="25">
        <v>4.42</v>
      </c>
      <c r="U51" s="25">
        <v>30.590000000000003</v>
      </c>
      <c r="V51" s="30">
        <v>20.558139534883722</v>
      </c>
      <c r="W51" s="30">
        <v>121.72093023255815</v>
      </c>
      <c r="X51" s="31"/>
      <c r="Y51" s="31"/>
      <c r="Z51" s="31"/>
      <c r="AA51" s="31"/>
      <c r="AB51" s="31"/>
      <c r="AC51" s="31"/>
      <c r="AD51" s="31"/>
      <c r="AE51" s="32"/>
      <c r="AF51" s="1"/>
      <c r="AG51" s="4"/>
      <c r="AH51" s="4">
        <v>2005</v>
      </c>
      <c r="AI51" s="6">
        <v>215</v>
      </c>
      <c r="AJ51" s="38"/>
      <c r="AK51" s="3"/>
      <c r="AL51" s="1" t="s">
        <v>127</v>
      </c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42"/>
      <c r="BH51" s="42"/>
      <c r="BI51" s="42"/>
      <c r="BJ51" s="42"/>
      <c r="BK51" s="44"/>
      <c r="BL51" s="44"/>
      <c r="BM51" s="44">
        <f>+BK51+BL51</f>
        <v>0</v>
      </c>
      <c r="BN51" s="47"/>
      <c r="BO51" s="47"/>
      <c r="BP51" s="45"/>
      <c r="BQ51" s="9"/>
      <c r="BR51" s="4"/>
      <c r="BS51" s="4"/>
      <c r="BT51" s="4"/>
      <c r="BU51" s="4"/>
      <c r="BV51" s="4"/>
      <c r="BW51" s="4"/>
      <c r="BX51" s="4" t="s">
        <v>856</v>
      </c>
      <c r="BY51" s="9">
        <f>+INT(BK51*faktorji!$B$3)</f>
        <v>0</v>
      </c>
      <c r="BZ51" s="9">
        <f>+INT(BL51*faktorji!$B$4)</f>
        <v>0</v>
      </c>
      <c r="CA51" s="4"/>
      <c r="CB51" s="4">
        <v>0</v>
      </c>
      <c r="CC51" s="4">
        <v>0</v>
      </c>
      <c r="CD51" s="4">
        <v>0</v>
      </c>
      <c r="CE51" s="4">
        <v>0</v>
      </c>
      <c r="CF51" s="4">
        <v>1</v>
      </c>
      <c r="CG51" s="4">
        <v>1</v>
      </c>
      <c r="CH51" s="4">
        <v>1</v>
      </c>
      <c r="CI51" s="9" t="e">
        <f>+BQ51*(CB51*faktorji!$B$21+'MOL_tabela rezultatov'!#REF!*faktorji!$B$23+'MOL_tabela rezultatov'!#REF!*faktorji!$B$26)+faktorji!$B$27*CG51</f>
        <v>#REF!</v>
      </c>
      <c r="CJ51" s="9" t="e">
        <f>+(BZ51*CF51*faktorji!$B$18)+(CG51*faktorji!$B$17*('MOL_tabela rezultatov'!#REF!+'MOL_tabela rezultatov'!#REF!))+('MOL_tabela rezultatov'!#REF!*faktorji!$B$16*'MOL_tabela rezultatov'!#REF!)+('MOL_tabela rezultatov'!#REF!*faktorji!$B$12*'MOL_tabela rezultatov'!#REF!)</f>
        <v>#REF!</v>
      </c>
      <c r="CK51" s="66" t="e">
        <f>+CI51/CJ51</f>
        <v>#REF!</v>
      </c>
      <c r="CL51" s="3" t="str">
        <f>CONCATENATE(IF(CB51&gt;0,"kotlovnica/toplotna postaja, ",""),IF(CF51&gt;0,"razsvetljava, ",""),IF(CG51&gt;0,"energetsko upravljanje, ",""),IF(CH51&gt;0,"manjši investicijski in organizacijski ukrepi, ",""))</f>
        <v xml:space="preserve">razsvetljava, energetsko upravljanje, manjši investicijski in organizacijski ukrepi, </v>
      </c>
      <c r="CM51" s="9" t="e">
        <f>+CJ51*0.9</f>
        <v>#REF!</v>
      </c>
      <c r="CN51" s="9" t="e">
        <f>+CJ51*0.9</f>
        <v>#REF!</v>
      </c>
      <c r="CO51" s="9" t="e">
        <f>+CJ51*0.9</f>
        <v>#REF!</v>
      </c>
      <c r="CP51" s="69" t="e">
        <f>+IF(CI51-SUM(CM51:CO51)&lt;0,0,CI51-SUM(CM51:CO51))</f>
        <v>#REF!</v>
      </c>
      <c r="CQ51" s="9">
        <f>+(BQ51*CE51*faktorji!$B$24)+(BQ51^0.5*CC51*4*4*0.66*faktorji!$B$22)+(BQ51^0.5*CD51*4*4*0.33*faktorji!$B$25)</f>
        <v>0</v>
      </c>
      <c r="CR51" s="3" t="str">
        <f t="shared" si="1"/>
        <v/>
      </c>
      <c r="CS51" s="9">
        <f>+BQ51*('MOL_tabela rezultatov'!CH51*faktorji!$B$26)+faktorji!$B$27*CG51</f>
        <v>18000</v>
      </c>
      <c r="CT51" s="3" t="str">
        <f t="shared" si="0"/>
        <v xml:space="preserve">energetsko upravljanje, manjši investicijski in organizacijski ukrepi, </v>
      </c>
      <c r="CU51" s="9">
        <f t="shared" si="2"/>
        <v>4500</v>
      </c>
      <c r="CV51" s="9">
        <f t="shared" ref="CV51:CX51" si="20">+CU51</f>
        <v>4500</v>
      </c>
      <c r="CW51" s="9">
        <f t="shared" si="20"/>
        <v>4500</v>
      </c>
      <c r="CX51" s="69">
        <f t="shared" si="20"/>
        <v>4500</v>
      </c>
    </row>
    <row r="52" spans="1:102" s="10" customFormat="1" ht="18" hidden="1" customHeight="1">
      <c r="A52" s="54" t="s">
        <v>73</v>
      </c>
      <c r="B52" s="3" t="s">
        <v>74</v>
      </c>
      <c r="C52" s="56"/>
      <c r="D52" s="56"/>
      <c r="E52" s="51" t="s">
        <v>1168</v>
      </c>
      <c r="F52" s="51" t="s">
        <v>1255</v>
      </c>
      <c r="G52" s="51">
        <v>2</v>
      </c>
      <c r="H52" s="51"/>
      <c r="I52" s="51"/>
      <c r="J52" s="51">
        <v>4</v>
      </c>
      <c r="K52" s="37" t="s">
        <v>1244</v>
      </c>
      <c r="L52" s="50"/>
      <c r="M52" s="4" t="s">
        <v>5</v>
      </c>
      <c r="N52" s="25">
        <v>37.08897332170384</v>
      </c>
      <c r="O52" s="25"/>
      <c r="P52" s="25"/>
      <c r="Q52" s="25"/>
      <c r="R52" s="25"/>
      <c r="S52" s="25"/>
      <c r="T52" s="25">
        <v>19.8</v>
      </c>
      <c r="U52" s="25">
        <v>56.888973321703844</v>
      </c>
      <c r="V52" s="30">
        <v>90</v>
      </c>
      <c r="W52" s="30">
        <v>168.58624237138108</v>
      </c>
      <c r="X52" s="31"/>
      <c r="Y52" s="31"/>
      <c r="Z52" s="31"/>
      <c r="AA52" s="31"/>
      <c r="AB52" s="31"/>
      <c r="AC52" s="31">
        <v>22.27</v>
      </c>
      <c r="AD52" s="31"/>
      <c r="AE52" s="32">
        <v>0</v>
      </c>
      <c r="AF52" s="1"/>
      <c r="AG52" s="4"/>
      <c r="AH52" s="4" t="s">
        <v>44</v>
      </c>
      <c r="AI52" s="6">
        <v>220</v>
      </c>
      <c r="AJ52" s="38">
        <v>100</v>
      </c>
      <c r="AK52" s="3" t="s">
        <v>54</v>
      </c>
      <c r="AL52" s="1" t="s">
        <v>75</v>
      </c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42">
        <v>33.700000000000003</v>
      </c>
      <c r="BH52" s="42"/>
      <c r="BI52" s="42"/>
      <c r="BJ52" s="42"/>
      <c r="BK52" s="44">
        <v>33.700000000000003</v>
      </c>
      <c r="BL52" s="44">
        <v>19.8</v>
      </c>
      <c r="BM52" s="44">
        <f>+BK52+BL52</f>
        <v>53.5</v>
      </c>
      <c r="BN52" s="47">
        <v>153.18181818181819</v>
      </c>
      <c r="BO52" s="47">
        <v>90</v>
      </c>
      <c r="BP52" s="45">
        <v>243.18181818181819</v>
      </c>
      <c r="BQ52" s="9">
        <v>220</v>
      </c>
      <c r="BR52" s="4"/>
      <c r="BS52" s="4"/>
      <c r="BT52" s="4"/>
      <c r="BU52" s="4"/>
      <c r="BV52" s="4"/>
      <c r="BW52" s="4"/>
      <c r="BX52" s="4"/>
      <c r="BY52" s="9">
        <f>+INT(BK52*faktorji!$B$3)</f>
        <v>2190</v>
      </c>
      <c r="BZ52" s="9">
        <f>+INT(BL52*faktorji!$B$4)</f>
        <v>3267</v>
      </c>
      <c r="CA52" s="3" t="s">
        <v>1313</v>
      </c>
      <c r="CB52" s="4">
        <v>0</v>
      </c>
      <c r="CC52" s="4">
        <v>0</v>
      </c>
      <c r="CD52" s="4">
        <v>0</v>
      </c>
      <c r="CE52" s="4">
        <v>0</v>
      </c>
      <c r="CF52" s="4">
        <v>0</v>
      </c>
      <c r="CG52" s="4">
        <v>1</v>
      </c>
      <c r="CH52" s="4">
        <v>1</v>
      </c>
      <c r="CI52" s="9">
        <f>+BQ52*(CB52*faktorji!$B$21+'MOL_tabela rezultatov'!CF23*faktorji!$B$23+'MOL_tabela rezultatov'!CH23*faktorji!$B$26)+faktorji!$B$27*CG52</f>
        <v>21630</v>
      </c>
      <c r="CJ52" s="9">
        <f>+(BZ52*CF52*faktorji!$B$18)+(CG52*faktorji!$B$17*('MOL_tabela rezultatov'!BY23+'MOL_tabela rezultatov'!BZ23))+('MOL_tabela rezultatov'!CH23*faktorji!$B$16*'MOL_tabela rezultatov'!BY23)+('MOL_tabela rezultatov'!CB23*faktorji!$B$12*'MOL_tabela rezultatov'!BY23)</f>
        <v>1114.5999999999999</v>
      </c>
      <c r="CK52" s="66">
        <f>+CI52/CJ52</f>
        <v>19.40606495603804</v>
      </c>
      <c r="CL52" s="3" t="str">
        <f>CONCATENATE(IF(CB52&gt;0,"kotlovnica/toplotna postaja, ",""),IF(CF52&gt;0,"razsvetljava, ",""),IF(CG52&gt;0,"energetsko upravljanje, ",""),IF(CH52&gt;0,"manjši investicijski in organizacijski ukrepi, ",""))</f>
        <v xml:space="preserve">energetsko upravljanje, manjši investicijski in organizacijski ukrepi, </v>
      </c>
      <c r="CM52" s="9">
        <f>+CJ52*0.9</f>
        <v>1003.14</v>
      </c>
      <c r="CN52" s="9">
        <f>+CJ52*0.9</f>
        <v>1003.14</v>
      </c>
      <c r="CO52" s="9">
        <f>+CJ52*0.9</f>
        <v>1003.14</v>
      </c>
      <c r="CP52" s="69">
        <f>+IF(CI52-SUM(CM52:CO52)&lt;0,0,CI52-SUM(CM52:CO52))</f>
        <v>18620.580000000002</v>
      </c>
      <c r="CQ52" s="9">
        <f>+(BQ52*CE52*faktorji!$B$24)+(BQ52^0.5*CC52*4*4*0.66*faktorji!$B$22)+(BQ52^0.5*CD52*4*4*0.33*faktorji!$B$25)</f>
        <v>0</v>
      </c>
      <c r="CR52" s="3" t="str">
        <f t="shared" si="1"/>
        <v/>
      </c>
      <c r="CS52" s="9">
        <f>+BQ52*('MOL_tabela rezultatov'!CH52*faktorji!$B$26)+faktorji!$B$27*CG52</f>
        <v>18330</v>
      </c>
      <c r="CT52" s="3" t="str">
        <f t="shared" si="0"/>
        <v xml:space="preserve">energetsko upravljanje, manjši investicijski in organizacijski ukrepi, </v>
      </c>
      <c r="CU52" s="9">
        <f t="shared" si="2"/>
        <v>4582.5</v>
      </c>
      <c r="CV52" s="9">
        <f t="shared" ref="CV52:CX52" si="21">+CU52</f>
        <v>4582.5</v>
      </c>
      <c r="CW52" s="9">
        <f t="shared" si="21"/>
        <v>4582.5</v>
      </c>
      <c r="CX52" s="69">
        <f t="shared" si="21"/>
        <v>4582.5</v>
      </c>
    </row>
    <row r="53" spans="1:102" s="10" customFormat="1" ht="18" hidden="1" customHeight="1">
      <c r="A53" s="53" t="s">
        <v>679</v>
      </c>
      <c r="B53" s="2" t="s">
        <v>680</v>
      </c>
      <c r="C53" s="57"/>
      <c r="D53" s="57"/>
      <c r="E53" s="51" t="s">
        <v>1176</v>
      </c>
      <c r="F53" s="51"/>
      <c r="G53" s="51">
        <v>3</v>
      </c>
      <c r="H53" s="51"/>
      <c r="I53" s="51"/>
      <c r="J53" s="51">
        <v>7</v>
      </c>
      <c r="K53" s="37" t="s">
        <v>1243</v>
      </c>
      <c r="L53" s="50"/>
      <c r="M53" s="4" t="s">
        <v>6</v>
      </c>
      <c r="N53" s="25"/>
      <c r="O53" s="25">
        <v>171.9</v>
      </c>
      <c r="P53" s="25"/>
      <c r="Q53" s="25"/>
      <c r="R53" s="25"/>
      <c r="S53" s="25"/>
      <c r="T53" s="25">
        <v>54.213999999999999</v>
      </c>
      <c r="U53" s="25">
        <v>226.114</v>
      </c>
      <c r="V53" s="30">
        <v>63.445289643066118</v>
      </c>
      <c r="W53" s="30">
        <v>201.17027501462843</v>
      </c>
      <c r="X53" s="31"/>
      <c r="Y53" s="31"/>
      <c r="Z53" s="31"/>
      <c r="AA53" s="31"/>
      <c r="AB53" s="31"/>
      <c r="AC53" s="31"/>
      <c r="AD53" s="31"/>
      <c r="AE53" s="32"/>
      <c r="AF53" s="16" t="s">
        <v>681</v>
      </c>
      <c r="AG53" s="3">
        <v>2002</v>
      </c>
      <c r="AH53" s="4"/>
      <c r="AI53" s="12">
        <v>854.5</v>
      </c>
      <c r="AJ53" s="38">
        <v>100</v>
      </c>
      <c r="AK53" s="3"/>
      <c r="AL53" s="1" t="s">
        <v>535</v>
      </c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>
        <v>45.3</v>
      </c>
      <c r="BD53" s="37">
        <v>43.6</v>
      </c>
      <c r="BE53" s="37">
        <v>43.7</v>
      </c>
      <c r="BF53" s="37">
        <v>43</v>
      </c>
      <c r="BG53" s="42"/>
      <c r="BH53" s="42">
        <v>218.7</v>
      </c>
      <c r="BI53" s="42"/>
      <c r="BJ53" s="42"/>
      <c r="BK53" s="44">
        <v>218.7</v>
      </c>
      <c r="BL53" s="44">
        <v>43.900000000000006</v>
      </c>
      <c r="BM53" s="44">
        <f>+BK53+BL53</f>
        <v>262.60000000000002</v>
      </c>
      <c r="BN53" s="47">
        <v>575.52631578947364</v>
      </c>
      <c r="BO53" s="47">
        <v>115.5263157894737</v>
      </c>
      <c r="BP53" s="45">
        <v>691.0526315789474</v>
      </c>
      <c r="BQ53" s="9">
        <v>380</v>
      </c>
      <c r="BR53" s="4"/>
      <c r="BS53" s="4"/>
      <c r="BT53" s="4" t="s">
        <v>872</v>
      </c>
      <c r="BU53" s="4"/>
      <c r="BV53" s="4" t="s">
        <v>873</v>
      </c>
      <c r="BW53" s="4" t="s">
        <v>874</v>
      </c>
      <c r="BX53" s="4" t="s">
        <v>903</v>
      </c>
      <c r="BY53" s="9">
        <f>+INT(BK53*faktorji!$B$5)</f>
        <v>20776</v>
      </c>
      <c r="BZ53" s="9">
        <f>+INT(BL53*faktorji!$B$4)</f>
        <v>7243</v>
      </c>
      <c r="CA53" s="4"/>
      <c r="CB53" s="4">
        <v>0</v>
      </c>
      <c r="CC53" s="4">
        <v>0</v>
      </c>
      <c r="CD53" s="4">
        <v>0</v>
      </c>
      <c r="CE53" s="4">
        <v>0</v>
      </c>
      <c r="CF53" s="4">
        <v>0</v>
      </c>
      <c r="CG53" s="4">
        <v>1</v>
      </c>
      <c r="CH53" s="4">
        <v>1</v>
      </c>
      <c r="CI53" s="9">
        <f>+BQ53*(CB53*faktorji!$B$21+'MOL_tabela rezultatov'!CF250*faktorji!$B$23+'MOL_tabela rezultatov'!CH250*faktorji!$B$26)+faktorji!$B$27*CG53</f>
        <v>24270</v>
      </c>
      <c r="CJ53" s="9">
        <f>+(BZ53*CF53*faktorji!$B$18)+(CG53*faktorji!$B$17*('MOL_tabela rezultatov'!BY250+'MOL_tabela rezultatov'!BZ250))+('MOL_tabela rezultatov'!CH250*faktorji!$B$16*'MOL_tabela rezultatov'!BY250)+('MOL_tabela rezultatov'!CB250*faktorji!$B$12*'MOL_tabela rezultatov'!BY250)</f>
        <v>5545</v>
      </c>
      <c r="CK53" s="66">
        <f>+CI53/CJ53</f>
        <v>4.3769161406672676</v>
      </c>
      <c r="CL53" s="3" t="str">
        <f>CONCATENATE(IF(CB53&gt;0,"kotlovnica/toplotna postaja, ",""),IF(CF53&gt;0,"razsvetljava, ",""),IF(CG53&gt;0,"energetsko upravljanje, ",""),IF(CH53&gt;0,"manjši investicijski in organizacijski ukrepi, ",""))</f>
        <v xml:space="preserve">energetsko upravljanje, manjši investicijski in organizacijski ukrepi, </v>
      </c>
      <c r="CM53" s="9">
        <f>+CJ53*0.9</f>
        <v>4990.5</v>
      </c>
      <c r="CN53" s="9">
        <f>+CJ53*0.9</f>
        <v>4990.5</v>
      </c>
      <c r="CO53" s="9">
        <f>+CJ53*0.9</f>
        <v>4990.5</v>
      </c>
      <c r="CP53" s="69">
        <f>+IF(CI53-SUM(CM53:CO53)&lt;0,0,CI53-SUM(CM53:CO53))</f>
        <v>9298.5</v>
      </c>
      <c r="CQ53" s="9">
        <f>+(BQ53*CE53*faktorji!$B$24)+(BQ53^0.5*CC53*4*4*0.66*faktorji!$B$22)+(BQ53^0.5*CD53*4*4*0.33*faktorji!$B$25)</f>
        <v>0</v>
      </c>
      <c r="CR53" s="3" t="str">
        <f t="shared" si="1"/>
        <v/>
      </c>
      <c r="CS53" s="9">
        <f>+BQ53*('MOL_tabela rezultatov'!CH53*faktorji!$B$26)+faktorji!$B$27*CG53</f>
        <v>18570</v>
      </c>
      <c r="CT53" s="3" t="str">
        <f t="shared" si="0"/>
        <v xml:space="preserve">energetsko upravljanje, manjši investicijski in organizacijski ukrepi, </v>
      </c>
      <c r="CU53" s="9">
        <f t="shared" si="2"/>
        <v>4642.5</v>
      </c>
      <c r="CV53" s="9">
        <f t="shared" ref="CV53:CX53" si="22">+CU53</f>
        <v>4642.5</v>
      </c>
      <c r="CW53" s="9">
        <f t="shared" si="22"/>
        <v>4642.5</v>
      </c>
      <c r="CX53" s="69">
        <f t="shared" si="22"/>
        <v>4642.5</v>
      </c>
    </row>
    <row r="54" spans="1:102" s="10" customFormat="1" ht="18" hidden="1" customHeight="1">
      <c r="A54" s="53" t="s">
        <v>679</v>
      </c>
      <c r="B54" s="2" t="s">
        <v>682</v>
      </c>
      <c r="C54" s="57"/>
      <c r="D54" s="57"/>
      <c r="E54" s="51" t="s">
        <v>1176</v>
      </c>
      <c r="F54" s="51"/>
      <c r="G54" s="51">
        <v>3</v>
      </c>
      <c r="H54" s="51"/>
      <c r="I54" s="51"/>
      <c r="J54" s="51">
        <v>7</v>
      </c>
      <c r="K54" s="37" t="s">
        <v>1243</v>
      </c>
      <c r="L54" s="50"/>
      <c r="M54" s="4" t="s">
        <v>6</v>
      </c>
      <c r="N54" s="25"/>
      <c r="O54" s="25">
        <v>171.9</v>
      </c>
      <c r="P54" s="25"/>
      <c r="Q54" s="25"/>
      <c r="R54" s="25"/>
      <c r="S54" s="25"/>
      <c r="T54" s="25">
        <v>71.885000000000005</v>
      </c>
      <c r="U54" s="25">
        <v>243.78500000000003</v>
      </c>
      <c r="V54" s="30">
        <v>84.125219426565238</v>
      </c>
      <c r="W54" s="30">
        <v>201.17027501462843</v>
      </c>
      <c r="X54" s="31"/>
      <c r="Y54" s="31"/>
      <c r="Z54" s="31"/>
      <c r="AA54" s="31"/>
      <c r="AB54" s="31"/>
      <c r="AC54" s="31"/>
      <c r="AD54" s="31"/>
      <c r="AE54" s="32"/>
      <c r="AF54" s="16"/>
      <c r="AG54" s="3"/>
      <c r="AH54" s="4"/>
      <c r="AI54" s="12">
        <v>854.5</v>
      </c>
      <c r="AJ54" s="38">
        <v>100</v>
      </c>
      <c r="AK54" s="3"/>
      <c r="AL54" s="1" t="s">
        <v>535</v>
      </c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>
        <v>63.8</v>
      </c>
      <c r="BD54" s="37">
        <v>69.099999999999994</v>
      </c>
      <c r="BE54" s="37">
        <v>65.8</v>
      </c>
      <c r="BF54" s="37">
        <v>62.9</v>
      </c>
      <c r="BG54" s="42"/>
      <c r="BH54" s="42">
        <v>172.7</v>
      </c>
      <c r="BI54" s="42"/>
      <c r="BJ54" s="42"/>
      <c r="BK54" s="44">
        <v>172.7</v>
      </c>
      <c r="BL54" s="44">
        <v>65.399999999999991</v>
      </c>
      <c r="BM54" s="44">
        <f>+BK54+BL54</f>
        <v>238.09999999999997</v>
      </c>
      <c r="BN54" s="47">
        <v>575.66666666666663</v>
      </c>
      <c r="BO54" s="47">
        <v>217.99999999999997</v>
      </c>
      <c r="BP54" s="45">
        <v>793.66666666666652</v>
      </c>
      <c r="BQ54" s="9">
        <v>300</v>
      </c>
      <c r="BR54" s="4">
        <v>420</v>
      </c>
      <c r="BS54" s="4">
        <v>2007</v>
      </c>
      <c r="BT54" s="4" t="s">
        <v>872</v>
      </c>
      <c r="BU54" s="4"/>
      <c r="BV54" s="4" t="s">
        <v>904</v>
      </c>
      <c r="BW54" s="1" t="s">
        <v>905</v>
      </c>
      <c r="BX54" s="4"/>
      <c r="BY54" s="9">
        <f>+INT(BK54*faktorji!$B$5)</f>
        <v>16406</v>
      </c>
      <c r="BZ54" s="9">
        <f>+INT(BL54*faktorji!$B$4)</f>
        <v>10791</v>
      </c>
      <c r="CA54" s="4"/>
      <c r="CB54" s="4">
        <v>0</v>
      </c>
      <c r="CC54" s="4">
        <v>0.5</v>
      </c>
      <c r="CD54" s="4">
        <v>0</v>
      </c>
      <c r="CE54" s="4">
        <v>1</v>
      </c>
      <c r="CF54" s="4">
        <v>0</v>
      </c>
      <c r="CG54" s="4">
        <v>1</v>
      </c>
      <c r="CH54" s="4">
        <v>1</v>
      </c>
      <c r="CI54" s="9">
        <f>+BQ54*(CB54*faktorji!$B$21+'MOL_tabela rezultatov'!CF251*faktorji!$B$23+'MOL_tabela rezultatov'!CH251*faktorji!$B$26)+faktorji!$B$27*CG54</f>
        <v>22950</v>
      </c>
      <c r="CJ54" s="9">
        <f>+(BZ54*CF54*faktorji!$B$18)+(CG54*faktorji!$B$17*('MOL_tabela rezultatov'!BY251+'MOL_tabela rezultatov'!BZ251))+('MOL_tabela rezultatov'!CH251*faktorji!$B$16*'MOL_tabela rezultatov'!BY251)+('MOL_tabela rezultatov'!CB251*faktorji!$B$12*'MOL_tabela rezultatov'!BY251)</f>
        <v>12823.2</v>
      </c>
      <c r="CK54" s="66">
        <f>+CI54/CJ54</f>
        <v>1.7897248736664795</v>
      </c>
      <c r="CL54" s="3" t="str">
        <f>CONCATENATE(IF(CB54&gt;0,"kotlovnica/toplotna postaja, ",""),IF(CF54&gt;0,"razsvetljava, ",""),IF(CG54&gt;0,"energetsko upravljanje, ",""),IF(CH54&gt;0,"manjši investicijski in organizacijski ukrepi, ",""))</f>
        <v xml:space="preserve">energetsko upravljanje, manjši investicijski in organizacijski ukrepi, </v>
      </c>
      <c r="CM54" s="9">
        <f>+CJ54*0.9</f>
        <v>11540.880000000001</v>
      </c>
      <c r="CN54" s="9">
        <f>+CJ54*0.9</f>
        <v>11540.880000000001</v>
      </c>
      <c r="CO54" s="9">
        <f>+CJ54*0.9</f>
        <v>11540.880000000001</v>
      </c>
      <c r="CP54" s="69">
        <f>+IF(CI54-SUM(CM54:CO54)&lt;0,0,CI54-SUM(CM54:CO54))</f>
        <v>0</v>
      </c>
      <c r="CQ54" s="9">
        <f>+(BQ54*CE54*faktorji!$B$24)+(BQ54^0.5*CC54*4*4*0.66*faktorji!$B$22)+(BQ54^0.5*CD54*4*4*0.33*faktorji!$B$25)</f>
        <v>12401.659784774572</v>
      </c>
      <c r="CR54" s="3" t="str">
        <f t="shared" si="1"/>
        <v xml:space="preserve">izolacija ovoja, izolacija podstrešja, </v>
      </c>
      <c r="CS54" s="9">
        <f>+BQ54*('MOL_tabela rezultatov'!CH54*faktorji!$B$26)+faktorji!$B$27*CG54</f>
        <v>18450</v>
      </c>
      <c r="CT54" s="3" t="str">
        <f t="shared" si="0"/>
        <v xml:space="preserve">energetsko upravljanje, manjši investicijski in organizacijski ukrepi, </v>
      </c>
      <c r="CU54" s="9">
        <f t="shared" si="2"/>
        <v>4612.5</v>
      </c>
      <c r="CV54" s="9">
        <f t="shared" ref="CV54:CX54" si="23">+CU54</f>
        <v>4612.5</v>
      </c>
      <c r="CW54" s="9">
        <f t="shared" si="23"/>
        <v>4612.5</v>
      </c>
      <c r="CX54" s="69">
        <f t="shared" si="23"/>
        <v>4612.5</v>
      </c>
    </row>
    <row r="55" spans="1:102" s="10" customFormat="1" ht="18" hidden="1" customHeight="1">
      <c r="A55" s="53" t="s">
        <v>590</v>
      </c>
      <c r="B55" s="2" t="s">
        <v>591</v>
      </c>
      <c r="C55" s="57"/>
      <c r="D55" s="57"/>
      <c r="E55" s="51" t="s">
        <v>1175</v>
      </c>
      <c r="F55" s="51"/>
      <c r="G55" s="51">
        <v>3</v>
      </c>
      <c r="H55" s="51"/>
      <c r="I55" s="51"/>
      <c r="J55" s="51">
        <v>7</v>
      </c>
      <c r="K55" s="37" t="s">
        <v>1243</v>
      </c>
      <c r="L55" s="50"/>
      <c r="M55" s="4" t="s">
        <v>6</v>
      </c>
      <c r="N55" s="25"/>
      <c r="O55" s="25">
        <v>453.40649999999999</v>
      </c>
      <c r="P55" s="25"/>
      <c r="Q55" s="25"/>
      <c r="R55" s="25"/>
      <c r="S55" s="25"/>
      <c r="T55" s="25">
        <v>65.835999999999999</v>
      </c>
      <c r="U55" s="25">
        <v>519.24249999999995</v>
      </c>
      <c r="V55" s="30">
        <v>15.000227842333105</v>
      </c>
      <c r="W55" s="30">
        <v>103.3051948051948</v>
      </c>
      <c r="X55" s="31"/>
      <c r="Y55" s="31"/>
      <c r="Z55" s="31"/>
      <c r="AA55" s="31"/>
      <c r="AB55" s="31"/>
      <c r="AC55" s="31"/>
      <c r="AD55" s="31"/>
      <c r="AE55" s="32"/>
      <c r="AF55" s="16" t="s">
        <v>592</v>
      </c>
      <c r="AG55" s="3">
        <v>2006</v>
      </c>
      <c r="AH55" s="4"/>
      <c r="AI55" s="6">
        <v>4389</v>
      </c>
      <c r="AJ55" s="38">
        <v>100</v>
      </c>
      <c r="AK55" s="3"/>
      <c r="AL55" s="1" t="s">
        <v>593</v>
      </c>
      <c r="AM55" s="37"/>
      <c r="AN55" s="37"/>
      <c r="AO55" s="37"/>
      <c r="AP55" s="37"/>
      <c r="AQ55" s="37">
        <f>(31074*9.5)/1000</f>
        <v>295.20299999999997</v>
      </c>
      <c r="AR55" s="37">
        <f>(44908*9.5)/1000</f>
        <v>426.62599999999998</v>
      </c>
      <c r="AS55" s="37">
        <f>(36854*9.5)/1000</f>
        <v>350.113</v>
      </c>
      <c r="AT55" s="37">
        <f>(38633*9.5)/1000</f>
        <v>367.01350000000002</v>
      </c>
      <c r="AU55" s="37"/>
      <c r="AV55" s="37"/>
      <c r="AW55" s="37"/>
      <c r="AX55" s="37"/>
      <c r="AY55" s="37"/>
      <c r="AZ55" s="37"/>
      <c r="BA55" s="37"/>
      <c r="BB55" s="37"/>
      <c r="BC55" s="37">
        <v>84.1</v>
      </c>
      <c r="BD55" s="37">
        <v>97.5</v>
      </c>
      <c r="BE55" s="37">
        <v>85</v>
      </c>
      <c r="BF55" s="37">
        <v>94.6</v>
      </c>
      <c r="BG55" s="42"/>
      <c r="BH55" s="42">
        <v>359.73887500000001</v>
      </c>
      <c r="BI55" s="42"/>
      <c r="BJ55" s="42"/>
      <c r="BK55" s="44">
        <v>359.73887500000001</v>
      </c>
      <c r="BL55" s="44">
        <v>90.300000000000011</v>
      </c>
      <c r="BM55" s="44">
        <f>+BK55+BL55</f>
        <v>450.03887500000002</v>
      </c>
      <c r="BN55" s="47">
        <v>111.85910292288557</v>
      </c>
      <c r="BO55" s="47">
        <v>28.07835820895523</v>
      </c>
      <c r="BP55" s="45">
        <v>139.93746113184079</v>
      </c>
      <c r="BQ55" s="9">
        <v>3216</v>
      </c>
      <c r="BR55" s="4">
        <v>510</v>
      </c>
      <c r="BS55" s="4">
        <v>2006</v>
      </c>
      <c r="BT55" s="4" t="s">
        <v>872</v>
      </c>
      <c r="BU55" s="4"/>
      <c r="BV55" s="4" t="s">
        <v>871</v>
      </c>
      <c r="BW55" s="4" t="s">
        <v>1078</v>
      </c>
      <c r="BX55" s="4"/>
      <c r="BY55" s="9">
        <f>+INT(BK55*faktorji!$B$5)</f>
        <v>34175</v>
      </c>
      <c r="BZ55" s="9">
        <f>+INT(BL55*faktorji!$B$4)</f>
        <v>14899</v>
      </c>
      <c r="CA55" s="4"/>
      <c r="CB55" s="4">
        <v>0</v>
      </c>
      <c r="CC55" s="4">
        <v>1</v>
      </c>
      <c r="CD55" s="4">
        <v>0</v>
      </c>
      <c r="CE55" s="4">
        <v>0</v>
      </c>
      <c r="CF55" s="4">
        <v>0</v>
      </c>
      <c r="CG55" s="4">
        <v>1</v>
      </c>
      <c r="CH55" s="4">
        <v>1</v>
      </c>
      <c r="CI55" s="9">
        <f>+BQ55*(CB55*faktorji!$B$21+'MOL_tabela rezultatov'!CF218*faktorji!$B$23+'MOL_tabela rezultatov'!CH218*faktorji!$B$26)+faktorji!$B$27*CG55</f>
        <v>71064</v>
      </c>
      <c r="CJ55" s="9">
        <f>+(BZ55*CF55*faktorji!$B$18)+(CG55*faktorji!$B$17*('MOL_tabela rezultatov'!BY218+'MOL_tabela rezultatov'!BZ218))+('MOL_tabela rezultatov'!CH218*faktorji!$B$16*'MOL_tabela rezultatov'!BY218)+('MOL_tabela rezultatov'!CB218*faktorji!$B$12*'MOL_tabela rezultatov'!BY218)</f>
        <v>5298.9000000000005</v>
      </c>
      <c r="CK55" s="66">
        <f>+CI55/CJ55</f>
        <v>13.411085319594632</v>
      </c>
      <c r="CL55" s="3" t="str">
        <f>CONCATENATE(IF(CB55&gt;0,"kotlovnica/toplotna postaja, ",""),IF(CF55&gt;0,"razsvetljava, ",""),IF(CG55&gt;0,"energetsko upravljanje, ",""),IF(CH55&gt;0,"manjši investicijski in organizacijski ukrepi, ",""))</f>
        <v xml:space="preserve">energetsko upravljanje, manjši investicijski in organizacijski ukrepi, </v>
      </c>
      <c r="CM55" s="9">
        <f>+CJ55*0.9</f>
        <v>4769.01</v>
      </c>
      <c r="CN55" s="9">
        <f>+CJ55*0.9</f>
        <v>4769.01</v>
      </c>
      <c r="CO55" s="9">
        <f>+CJ55*0.9</f>
        <v>4769.01</v>
      </c>
      <c r="CP55" s="69">
        <f>+IF(CI55-SUM(CM55:CO55)&lt;0,0,CI55-SUM(CM55:CO55))</f>
        <v>56756.97</v>
      </c>
      <c r="CQ55" s="9">
        <f>+(BQ55*CE55*faktorji!$B$24)+(BQ55^0.5*CC55*4*4*0.66*faktorji!$B$22)+(BQ55^0.5*CD55*4*4*0.33*faktorji!$B$25)</f>
        <v>41919.874931111146</v>
      </c>
      <c r="CR55" s="3" t="str">
        <f t="shared" si="1"/>
        <v xml:space="preserve">izolacija ovoja, </v>
      </c>
      <c r="CS55" s="9">
        <f>+BQ55*('MOL_tabela rezultatov'!CH55*faktorji!$B$26)+faktorji!$B$27*CG55</f>
        <v>22824</v>
      </c>
      <c r="CT55" s="3" t="str">
        <f t="shared" si="0"/>
        <v xml:space="preserve">energetsko upravljanje, manjši investicijski in organizacijski ukrepi, </v>
      </c>
      <c r="CU55" s="9">
        <f t="shared" si="2"/>
        <v>5706</v>
      </c>
      <c r="CV55" s="9">
        <f t="shared" ref="CV55:CX55" si="24">+CU55</f>
        <v>5706</v>
      </c>
      <c r="CW55" s="9">
        <f t="shared" si="24"/>
        <v>5706</v>
      </c>
      <c r="CX55" s="69">
        <f t="shared" si="24"/>
        <v>5706</v>
      </c>
    </row>
    <row r="56" spans="1:102" s="10" customFormat="1" ht="18" hidden="1" customHeight="1">
      <c r="A56" s="54" t="s">
        <v>769</v>
      </c>
      <c r="B56" s="3" t="s">
        <v>770</v>
      </c>
      <c r="C56" s="56"/>
      <c r="D56" s="56"/>
      <c r="E56" s="51" t="s">
        <v>1176</v>
      </c>
      <c r="F56" s="51"/>
      <c r="G56" s="51">
        <v>2</v>
      </c>
      <c r="H56" s="51" t="s">
        <v>1257</v>
      </c>
      <c r="I56" s="51"/>
      <c r="J56" s="51">
        <v>2</v>
      </c>
      <c r="K56" s="37" t="s">
        <v>1243</v>
      </c>
      <c r="L56" s="50"/>
      <c r="M56" s="4" t="s">
        <v>6</v>
      </c>
      <c r="N56" s="25"/>
      <c r="O56" s="25">
        <v>157.38</v>
      </c>
      <c r="P56" s="25"/>
      <c r="Q56" s="25"/>
      <c r="R56" s="25"/>
      <c r="S56" s="25"/>
      <c r="T56" s="25">
        <v>23.292201177778537</v>
      </c>
      <c r="U56" s="25">
        <v>180.67220117777853</v>
      </c>
      <c r="V56" s="30">
        <v>31.819946964178328</v>
      </c>
      <c r="W56" s="30">
        <v>215</v>
      </c>
      <c r="X56" s="31"/>
      <c r="Y56" s="31"/>
      <c r="Z56" s="31"/>
      <c r="AA56" s="31"/>
      <c r="AB56" s="31"/>
      <c r="AC56" s="31"/>
      <c r="AD56" s="31"/>
      <c r="AE56" s="32"/>
      <c r="AF56" s="16"/>
      <c r="AG56" s="3"/>
      <c r="AH56" s="4"/>
      <c r="AI56" s="6">
        <v>732</v>
      </c>
      <c r="AJ56" s="38">
        <v>100</v>
      </c>
      <c r="AK56" s="3"/>
      <c r="AL56" s="1"/>
      <c r="AM56" s="37"/>
      <c r="AN56" s="37"/>
      <c r="AO56" s="37"/>
      <c r="AP56" s="37"/>
      <c r="AQ56" s="37">
        <f>(26224*9.5)/1000</f>
        <v>249.12799999999999</v>
      </c>
      <c r="AR56" s="37">
        <f>(26224*9.5)/1000</f>
        <v>249.12799999999999</v>
      </c>
      <c r="AS56" s="37">
        <f>(16629*9.5)/1000</f>
        <v>157.97550000000001</v>
      </c>
      <c r="AT56" s="37">
        <f>(11256*9.5)/1000</f>
        <v>106.932</v>
      </c>
      <c r="AU56" s="37"/>
      <c r="AV56" s="37"/>
      <c r="AW56" s="37"/>
      <c r="AX56" s="37"/>
      <c r="AY56" s="37"/>
      <c r="AZ56" s="37"/>
      <c r="BA56" s="37"/>
      <c r="BB56" s="37"/>
      <c r="BC56" s="37">
        <v>24.7</v>
      </c>
      <c r="BD56" s="37">
        <v>25.5</v>
      </c>
      <c r="BE56" s="37">
        <v>22.4</v>
      </c>
      <c r="BF56" s="37">
        <v>20.100000000000001</v>
      </c>
      <c r="BG56" s="42"/>
      <c r="BH56" s="42">
        <v>190.790875</v>
      </c>
      <c r="BI56" s="42"/>
      <c r="BJ56" s="42"/>
      <c r="BK56" s="44">
        <v>190.790875</v>
      </c>
      <c r="BL56" s="44">
        <v>23.174999999999997</v>
      </c>
      <c r="BM56" s="44">
        <f>+BK56+BL56</f>
        <v>213.96587499999998</v>
      </c>
      <c r="BN56" s="47">
        <v>259.2267323369565</v>
      </c>
      <c r="BO56" s="47">
        <v>31.48777173913043</v>
      </c>
      <c r="BP56" s="45">
        <v>290.71450407608694</v>
      </c>
      <c r="BQ56" s="9">
        <v>736</v>
      </c>
      <c r="BR56" s="4"/>
      <c r="BS56" s="4"/>
      <c r="BT56" s="4" t="s">
        <v>951</v>
      </c>
      <c r="BU56" s="4"/>
      <c r="BV56" s="4" t="s">
        <v>950</v>
      </c>
      <c r="BW56" s="4"/>
      <c r="BX56" s="4" t="s">
        <v>952</v>
      </c>
      <c r="BY56" s="9">
        <f>+INT(BK56*faktorji!$B$5)</f>
        <v>18125</v>
      </c>
      <c r="BZ56" s="9">
        <f>+INT(BL56*faktorji!$B$4)</f>
        <v>3823</v>
      </c>
      <c r="CA56" s="3" t="s">
        <v>1304</v>
      </c>
      <c r="CB56" s="4">
        <v>1</v>
      </c>
      <c r="CC56" s="4">
        <v>1</v>
      </c>
      <c r="CD56" s="4">
        <v>0</v>
      </c>
      <c r="CE56" s="4">
        <v>0</v>
      </c>
      <c r="CF56" s="4">
        <v>1</v>
      </c>
      <c r="CG56" s="4">
        <v>1</v>
      </c>
      <c r="CH56" s="4">
        <v>1</v>
      </c>
      <c r="CI56" s="9">
        <f>+BQ56*(CB56*faktorji!$B$21+'MOL_tabela rezultatov'!CF280*faktorji!$B$23+'MOL_tabela rezultatov'!CH280*faktorji!$B$26)+faktorji!$B$27*CG56</f>
        <v>30144</v>
      </c>
      <c r="CJ56" s="9">
        <f>+(BZ56*CF56*faktorji!$B$18)+(CG56*faktorji!$B$17*('MOL_tabela rezultatov'!BY280+'MOL_tabela rezultatov'!BZ280))+('MOL_tabela rezultatov'!CH280*faktorji!$B$16*'MOL_tabela rezultatov'!BY280)+('MOL_tabela rezultatov'!CB280*faktorji!$B$12*'MOL_tabela rezultatov'!BY280)</f>
        <v>845.15</v>
      </c>
      <c r="CK56" s="66">
        <f>+CI56/CJ56</f>
        <v>35.667041353605867</v>
      </c>
      <c r="CL56" s="3" t="str">
        <f>CONCATENATE(IF(CB56&gt;0,"kotlovnica/toplotna postaja, ",""),IF(CF56&gt;0,"razsvetljava, ",""),IF(CG56&gt;0,"energetsko upravljanje, ",""),IF(CH56&gt;0,"manjši investicijski in organizacijski ukrepi, ",""))</f>
        <v xml:space="preserve">kotlovnica/toplotna postaja, razsvetljava, energetsko upravljanje, manjši investicijski in organizacijski ukrepi, </v>
      </c>
      <c r="CM56" s="9">
        <f>+CJ56*0.9</f>
        <v>760.63499999999999</v>
      </c>
      <c r="CN56" s="9">
        <f>+CJ56*0.9</f>
        <v>760.63499999999999</v>
      </c>
      <c r="CO56" s="9">
        <f>+CJ56*0.9</f>
        <v>760.63499999999999</v>
      </c>
      <c r="CP56" s="69">
        <f>+IF(CI56-SUM(CM56:CO56)&lt;0,0,CI56-SUM(CM56:CO56))</f>
        <v>27862.095000000001</v>
      </c>
      <c r="CQ56" s="9">
        <f>+(BQ56*CE56*faktorji!$B$24)+(BQ56^0.5*CC56*4*4*0.66*faktorji!$B$22)+(BQ56^0.5*CD56*4*4*0.33*faktorji!$B$25)</f>
        <v>20053.993294104795</v>
      </c>
      <c r="CR56" s="3" t="str">
        <f t="shared" si="1"/>
        <v xml:space="preserve">izolacija ovoja, </v>
      </c>
      <c r="CS56" s="9">
        <f>+BQ56*('MOL_tabela rezultatov'!CH56*faktorji!$B$26)+faktorji!$B$27*CG56</f>
        <v>19104</v>
      </c>
      <c r="CT56" s="3" t="str">
        <f t="shared" si="0"/>
        <v xml:space="preserve">energetsko upravljanje, manjši investicijski in organizacijski ukrepi, </v>
      </c>
      <c r="CU56" s="9">
        <f t="shared" si="2"/>
        <v>4776</v>
      </c>
      <c r="CV56" s="9">
        <f t="shared" ref="CV56:CX56" si="25">+CU56</f>
        <v>4776</v>
      </c>
      <c r="CW56" s="9">
        <f t="shared" si="25"/>
        <v>4776</v>
      </c>
      <c r="CX56" s="69">
        <f t="shared" si="25"/>
        <v>4776</v>
      </c>
    </row>
    <row r="57" spans="1:102" s="10" customFormat="1" ht="18" hidden="1" customHeight="1">
      <c r="A57" s="53" t="s">
        <v>707</v>
      </c>
      <c r="B57" s="2" t="s">
        <v>708</v>
      </c>
      <c r="C57" s="57"/>
      <c r="D57" s="57"/>
      <c r="E57" s="51" t="s">
        <v>1176</v>
      </c>
      <c r="F57" s="51"/>
      <c r="G57" s="51">
        <v>2</v>
      </c>
      <c r="H57" s="51" t="s">
        <v>1257</v>
      </c>
      <c r="I57" s="51"/>
      <c r="J57" s="51">
        <v>2</v>
      </c>
      <c r="K57" s="37" t="s">
        <v>1243</v>
      </c>
      <c r="L57" s="50"/>
      <c r="M57" s="4" t="s">
        <v>6</v>
      </c>
      <c r="N57" s="25"/>
      <c r="O57" s="25"/>
      <c r="P57" s="25">
        <v>200</v>
      </c>
      <c r="Q57" s="25"/>
      <c r="R57" s="25"/>
      <c r="S57" s="25"/>
      <c r="T57" s="25">
        <v>88.149000000000001</v>
      </c>
      <c r="U57" s="25">
        <v>288.149</v>
      </c>
      <c r="V57" s="30">
        <v>83.791825095057035</v>
      </c>
      <c r="W57" s="30">
        <v>190.11406844106463</v>
      </c>
      <c r="X57" s="31"/>
      <c r="Y57" s="31"/>
      <c r="Z57" s="31"/>
      <c r="AA57" s="31"/>
      <c r="AB57" s="31"/>
      <c r="AC57" s="31"/>
      <c r="AD57" s="31"/>
      <c r="AE57" s="32"/>
      <c r="AF57" s="16" t="s">
        <v>709</v>
      </c>
      <c r="AG57" s="3">
        <v>1997</v>
      </c>
      <c r="AH57" s="4"/>
      <c r="AI57" s="6">
        <v>1052</v>
      </c>
      <c r="AJ57" s="38">
        <v>100</v>
      </c>
      <c r="AK57" s="3"/>
      <c r="AL57" s="1" t="s">
        <v>421</v>
      </c>
      <c r="AM57" s="37"/>
      <c r="AN57" s="37"/>
      <c r="AO57" s="37"/>
      <c r="AP57" s="37"/>
      <c r="AQ57" s="37"/>
      <c r="AR57" s="37"/>
      <c r="AS57" s="37"/>
      <c r="AT57" s="37"/>
      <c r="AU57" s="37">
        <v>188</v>
      </c>
      <c r="AV57" s="37">
        <v>225</v>
      </c>
      <c r="AW57" s="37">
        <v>180</v>
      </c>
      <c r="AX57" s="37">
        <v>180</v>
      </c>
      <c r="AY57" s="37"/>
      <c r="AZ57" s="37"/>
      <c r="BA57" s="37"/>
      <c r="BB57" s="37"/>
      <c r="BC57" s="37">
        <v>89.6</v>
      </c>
      <c r="BD57" s="37">
        <v>81</v>
      </c>
      <c r="BE57" s="37">
        <v>94.2</v>
      </c>
      <c r="BF57" s="37">
        <v>101.5</v>
      </c>
      <c r="BG57" s="42"/>
      <c r="BH57" s="42"/>
      <c r="BI57" s="42">
        <v>193.25</v>
      </c>
      <c r="BJ57" s="42"/>
      <c r="BK57" s="44">
        <v>193.25</v>
      </c>
      <c r="BL57" s="44">
        <v>91.575000000000003</v>
      </c>
      <c r="BM57" s="44">
        <f>+BK57+BL57</f>
        <v>284.82499999999999</v>
      </c>
      <c r="BN57" s="47">
        <v>161.04166666666666</v>
      </c>
      <c r="BO57" s="47">
        <v>76.3125</v>
      </c>
      <c r="BP57" s="45">
        <v>237.35416666666666</v>
      </c>
      <c r="BQ57" s="9">
        <v>1200</v>
      </c>
      <c r="BR57" s="4" t="s">
        <v>917</v>
      </c>
      <c r="BS57" s="4">
        <v>1997</v>
      </c>
      <c r="BT57" s="1" t="s">
        <v>918</v>
      </c>
      <c r="BU57" s="4"/>
      <c r="BV57" s="4" t="s">
        <v>871</v>
      </c>
      <c r="BW57" s="4"/>
      <c r="BX57" s="4"/>
      <c r="BY57" s="9">
        <f>+INT(BK57*faktorji!$B$5)</f>
        <v>18358</v>
      </c>
      <c r="BZ57" s="9">
        <f>+INT(BL57*faktorji!$B$4)</f>
        <v>15109</v>
      </c>
      <c r="CA57" s="3" t="s">
        <v>1304</v>
      </c>
      <c r="CB57" s="4">
        <v>1</v>
      </c>
      <c r="CC57" s="4">
        <v>1</v>
      </c>
      <c r="CD57" s="4">
        <v>0</v>
      </c>
      <c r="CE57" s="4">
        <v>1</v>
      </c>
      <c r="CF57" s="4">
        <v>1</v>
      </c>
      <c r="CG57" s="4">
        <v>1</v>
      </c>
      <c r="CH57" s="4">
        <v>1</v>
      </c>
      <c r="CI57" s="9">
        <f>+BQ57*(CB57*faktorji!$B$21+'MOL_tabela rezultatov'!CF261*faktorji!$B$23+'MOL_tabela rezultatov'!CH261*faktorji!$B$26)+faktorji!$B$27*CG57</f>
        <v>55800</v>
      </c>
      <c r="CJ57" s="9">
        <f>+(BZ57*CF57*faktorji!$B$18)+(CG57*faktorji!$B$17*('MOL_tabela rezultatov'!BY261+'MOL_tabela rezultatov'!BZ261))+('MOL_tabela rezultatov'!CH261*faktorji!$B$16*'MOL_tabela rezultatov'!BY261)+('MOL_tabela rezultatov'!CB261*faktorji!$B$12*'MOL_tabela rezultatov'!BY261)</f>
        <v>3036.75</v>
      </c>
      <c r="CK57" s="66">
        <f>+CI57/CJ57</f>
        <v>18.374907384539391</v>
      </c>
      <c r="CL57" s="3" t="str">
        <f>CONCATENATE(IF(CB57&gt;0,"kotlovnica/toplotna postaja, ",""),IF(CF57&gt;0,"razsvetljava, ",""),IF(CG57&gt;0,"energetsko upravljanje, ",""),IF(CH57&gt;0,"manjši investicijski in organizacijski ukrepi, ",""))</f>
        <v xml:space="preserve">kotlovnica/toplotna postaja, razsvetljava, energetsko upravljanje, manjši investicijski in organizacijski ukrepi, </v>
      </c>
      <c r="CM57" s="9">
        <f>+CJ57*0.9</f>
        <v>2733.0750000000003</v>
      </c>
      <c r="CN57" s="9">
        <f>+CJ57*0.9</f>
        <v>2733.0750000000003</v>
      </c>
      <c r="CO57" s="9">
        <f>+CJ57*0.9</f>
        <v>2733.0750000000003</v>
      </c>
      <c r="CP57" s="69">
        <f>+IF(CI57-SUM(CM57:CO57)&lt;0,0,CI57-SUM(CM57:CO57))</f>
        <v>47600.775000000001</v>
      </c>
      <c r="CQ57" s="9">
        <f>+(BQ57*CE57*faktorji!$B$24)+(BQ57^0.5*CC57*4*4*0.66*faktorji!$B$22)+(BQ57^0.5*CD57*4*4*0.33*faktorji!$B$25)</f>
        <v>49606.63913909829</v>
      </c>
      <c r="CR57" s="3" t="str">
        <f t="shared" si="1"/>
        <v xml:space="preserve">izolacija ovoja, izolacija podstrešja, </v>
      </c>
      <c r="CS57" s="9">
        <f>+BQ57*('MOL_tabela rezultatov'!CH57*faktorji!$B$26)+faktorji!$B$27*CG57</f>
        <v>19800</v>
      </c>
      <c r="CT57" s="3" t="str">
        <f t="shared" si="0"/>
        <v xml:space="preserve">energetsko upravljanje, manjši investicijski in organizacijski ukrepi, </v>
      </c>
      <c r="CU57" s="9">
        <f t="shared" si="2"/>
        <v>4950</v>
      </c>
      <c r="CV57" s="9">
        <f t="shared" ref="CV57:CX57" si="26">+CU57</f>
        <v>4950</v>
      </c>
      <c r="CW57" s="9">
        <f t="shared" si="26"/>
        <v>4950</v>
      </c>
      <c r="CX57" s="69">
        <f t="shared" si="26"/>
        <v>4950</v>
      </c>
    </row>
    <row r="58" spans="1:102" s="10" customFormat="1" ht="18" customHeight="1">
      <c r="A58" s="118" t="s">
        <v>78</v>
      </c>
      <c r="B58" s="147" t="s">
        <v>79</v>
      </c>
      <c r="C58" s="56"/>
      <c r="D58" s="56"/>
      <c r="E58" s="51" t="s">
        <v>1168</v>
      </c>
      <c r="F58" s="51" t="s">
        <v>1255</v>
      </c>
      <c r="G58" s="51">
        <v>2</v>
      </c>
      <c r="H58" s="51"/>
      <c r="I58" s="51"/>
      <c r="J58" s="51">
        <v>4</v>
      </c>
      <c r="K58" s="37" t="s">
        <v>1243</v>
      </c>
      <c r="L58" s="50"/>
      <c r="M58" s="4" t="s">
        <v>6</v>
      </c>
      <c r="N58" s="25"/>
      <c r="O58" s="25">
        <v>51.65</v>
      </c>
      <c r="P58" s="25"/>
      <c r="Q58" s="25"/>
      <c r="R58" s="25"/>
      <c r="S58" s="25"/>
      <c r="T58" s="25">
        <v>16.5</v>
      </c>
      <c r="U58" s="25">
        <v>68.150000000000006</v>
      </c>
      <c r="V58" s="30">
        <v>65.307737977439146</v>
      </c>
      <c r="W58" s="30">
        <v>204.43301009301405</v>
      </c>
      <c r="X58" s="31"/>
      <c r="Y58" s="31"/>
      <c r="Z58" s="31"/>
      <c r="AA58" s="31"/>
      <c r="AB58" s="31"/>
      <c r="AC58" s="31">
        <v>15.08</v>
      </c>
      <c r="AD58" s="31"/>
      <c r="AE58" s="32">
        <v>0</v>
      </c>
      <c r="AF58" s="1"/>
      <c r="AG58" s="4"/>
      <c r="AH58" s="4" t="s">
        <v>80</v>
      </c>
      <c r="AI58" s="6">
        <v>252.65</v>
      </c>
      <c r="AJ58" s="38">
        <v>100</v>
      </c>
      <c r="AK58" s="3" t="s">
        <v>81</v>
      </c>
      <c r="AL58" s="1" t="s">
        <v>26</v>
      </c>
      <c r="AM58" s="37"/>
      <c r="AN58" s="37"/>
      <c r="AO58" s="37"/>
      <c r="AP58" s="37"/>
      <c r="AQ58" s="37">
        <f>0.06*AQ69</f>
        <v>25.659119999999998</v>
      </c>
      <c r="AR58" s="37">
        <f>0.06*AR69</f>
        <v>31.000590000000003</v>
      </c>
      <c r="AS58" s="37">
        <f>0.06*AS69</f>
        <v>24.225569999999998</v>
      </c>
      <c r="AT58" s="37">
        <f>0.06*AT69</f>
        <v>25.251570000000001</v>
      </c>
      <c r="AU58" s="37"/>
      <c r="AV58" s="37"/>
      <c r="AW58" s="37"/>
      <c r="AX58" s="37"/>
      <c r="AY58" s="37"/>
      <c r="AZ58" s="37"/>
      <c r="BA58" s="37"/>
      <c r="BB58" s="37"/>
      <c r="BC58" s="37">
        <v>16.59</v>
      </c>
      <c r="BD58" s="37">
        <v>16.9194</v>
      </c>
      <c r="BE58" s="37">
        <v>16.962</v>
      </c>
      <c r="BF58" s="37">
        <v>16.782</v>
      </c>
      <c r="BG58" s="42"/>
      <c r="BH58" s="42">
        <v>56.224087500000003</v>
      </c>
      <c r="BI58" s="42"/>
      <c r="BJ58" s="42"/>
      <c r="BK58" s="44">
        <v>56.224087500000003</v>
      </c>
      <c r="BL58" s="44">
        <v>16.81335</v>
      </c>
      <c r="BM58" s="44">
        <f>+BK58+BL58</f>
        <v>73.03743750000001</v>
      </c>
      <c r="BN58" s="47">
        <v>222.53745299821887</v>
      </c>
      <c r="BO58" s="47">
        <v>66.547991292301589</v>
      </c>
      <c r="BP58" s="45">
        <v>289.08544429052051</v>
      </c>
      <c r="BQ58" s="9">
        <v>252.65</v>
      </c>
      <c r="BR58" s="4"/>
      <c r="BS58" s="4"/>
      <c r="BT58" s="4"/>
      <c r="BU58" s="4"/>
      <c r="BV58" s="4"/>
      <c r="BW58" s="4"/>
      <c r="BX58" s="4"/>
      <c r="BY58" s="9">
        <f>+INT(BK58*faktorji!$B$5)</f>
        <v>5341</v>
      </c>
      <c r="BZ58" s="9">
        <f>+INT(BL58*faktorji!$B$4)</f>
        <v>2774</v>
      </c>
      <c r="CA58" s="3" t="s">
        <v>1313</v>
      </c>
      <c r="CB58" s="4">
        <v>0</v>
      </c>
      <c r="CC58" s="4">
        <v>0</v>
      </c>
      <c r="CD58" s="4">
        <v>0</v>
      </c>
      <c r="CE58" s="4">
        <v>0</v>
      </c>
      <c r="CF58" s="4">
        <v>0</v>
      </c>
      <c r="CG58" s="4">
        <v>1</v>
      </c>
      <c r="CH58" s="4">
        <v>1</v>
      </c>
      <c r="CI58" s="9">
        <f>+BQ58*(CB58*faktorji!$B$21+'MOL_tabela rezultatov'!CF25*faktorji!$B$23+'MOL_tabela rezultatov'!CH25*faktorji!$B$26)+faktorji!$B$27*CG58</f>
        <v>22168.724999999999</v>
      </c>
      <c r="CJ58" s="9">
        <f>+(BZ58*CF58*faktorji!$B$18)+(CG58*faktorji!$B$17*('MOL_tabela rezultatov'!BY25+'MOL_tabela rezultatov'!BZ25))+('MOL_tabela rezultatov'!CH25*faktorji!$B$16*'MOL_tabela rezultatov'!BY25)+('MOL_tabela rezultatov'!CB25*faktorji!$B$12*'MOL_tabela rezultatov'!BY25)</f>
        <v>2955</v>
      </c>
      <c r="CK58" s="66">
        <f>+CI58/CJ58</f>
        <v>7.5021065989847715</v>
      </c>
      <c r="CL58" s="3" t="str">
        <f>CONCATENATE(IF(CB58&gt;0,"kotlovnica/toplotna postaja, ",""),IF(CF58&gt;0,"razsvetljava, ",""),IF(CG58&gt;0,"energetsko upravljanje, ",""),IF(CH58&gt;0,"manjši investicijski in organizacijski ukrepi, ",""))</f>
        <v xml:space="preserve">energetsko upravljanje, manjši investicijski in organizacijski ukrepi, </v>
      </c>
      <c r="CM58" s="9">
        <f>+CJ58*0.9</f>
        <v>2659.5</v>
      </c>
      <c r="CN58" s="9">
        <f>+CJ58*0.9</f>
        <v>2659.5</v>
      </c>
      <c r="CO58" s="9">
        <f>+CJ58*0.9</f>
        <v>2659.5</v>
      </c>
      <c r="CP58" s="69">
        <f>+IF(CI58-SUM(CM58:CO58)&lt;0,0,CI58-SUM(CM58:CO58))</f>
        <v>14190.224999999999</v>
      </c>
      <c r="CQ58" s="9">
        <f>+(BQ58*CE58*faktorji!$B$24)+(BQ58^0.5*CC58*4*4*0.66*faktorji!$B$22)+(BQ58^0.5*CD58*4*4*0.33*faktorji!$B$25)</f>
        <v>0</v>
      </c>
      <c r="CR58" s="3" t="str">
        <f t="shared" si="1"/>
        <v/>
      </c>
      <c r="CS58" s="9">
        <f>+BQ58*('MOL_tabela rezultatov'!CH58*faktorji!$B$26)+faktorji!$B$27*CG58</f>
        <v>18378.974999999999</v>
      </c>
      <c r="CT58" s="3" t="str">
        <f t="shared" si="0"/>
        <v xml:space="preserve">energetsko upravljanje, manjši investicijski in organizacijski ukrepi, </v>
      </c>
      <c r="CU58" s="9">
        <f t="shared" si="2"/>
        <v>4594.7437499999996</v>
      </c>
      <c r="CV58" s="9">
        <f t="shared" ref="CV58:CX58" si="27">+CU58</f>
        <v>4594.7437499999996</v>
      </c>
      <c r="CW58" s="9">
        <f t="shared" si="27"/>
        <v>4594.7437499999996</v>
      </c>
      <c r="CX58" s="69">
        <f t="shared" si="27"/>
        <v>4594.7437499999996</v>
      </c>
    </row>
    <row r="59" spans="1:102" s="10" customFormat="1" ht="18" customHeight="1">
      <c r="A59" s="117" t="s">
        <v>494</v>
      </c>
      <c r="B59" s="146" t="s">
        <v>495</v>
      </c>
      <c r="C59" s="57"/>
      <c r="D59" s="57"/>
      <c r="E59" s="51" t="s">
        <v>1175</v>
      </c>
      <c r="F59" s="51"/>
      <c r="G59" s="51">
        <v>3</v>
      </c>
      <c r="H59" s="51"/>
      <c r="I59" s="51"/>
      <c r="J59" s="51">
        <v>7</v>
      </c>
      <c r="K59" s="37" t="s">
        <v>1242</v>
      </c>
      <c r="L59" s="50"/>
      <c r="M59" s="4" t="s">
        <v>5</v>
      </c>
      <c r="N59" s="28">
        <v>628</v>
      </c>
      <c r="O59" s="25"/>
      <c r="P59" s="25"/>
      <c r="Q59" s="25"/>
      <c r="R59" s="25"/>
      <c r="S59" s="25"/>
      <c r="T59" s="25">
        <v>117.107</v>
      </c>
      <c r="U59" s="25">
        <v>745.10699999999997</v>
      </c>
      <c r="V59" s="30">
        <v>25.56363239467365</v>
      </c>
      <c r="W59" s="30">
        <v>137.08797205850252</v>
      </c>
      <c r="X59" s="31"/>
      <c r="Y59" s="31"/>
      <c r="Z59" s="31"/>
      <c r="AA59" s="31"/>
      <c r="AB59" s="31"/>
      <c r="AC59" s="31"/>
      <c r="AD59" s="31"/>
      <c r="AE59" s="32"/>
      <c r="AF59" s="16"/>
      <c r="AG59" s="3"/>
      <c r="AH59" s="4"/>
      <c r="AI59" s="6">
        <v>4581</v>
      </c>
      <c r="AJ59" s="38">
        <v>100</v>
      </c>
      <c r="AK59" s="3"/>
      <c r="AL59" s="1" t="s">
        <v>421</v>
      </c>
      <c r="AM59" s="39">
        <v>805.8</v>
      </c>
      <c r="AN59" s="39">
        <v>787.9</v>
      </c>
      <c r="AO59" s="39">
        <v>707.4</v>
      </c>
      <c r="AP59" s="39">
        <v>633.1</v>
      </c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>
        <v>125.4</v>
      </c>
      <c r="BD59" s="37">
        <v>131.19999999999999</v>
      </c>
      <c r="BE59" s="37">
        <v>118.9</v>
      </c>
      <c r="BF59" s="37">
        <v>106.3</v>
      </c>
      <c r="BG59" s="42">
        <v>733.55</v>
      </c>
      <c r="BH59" s="42"/>
      <c r="BI59" s="42"/>
      <c r="BJ59" s="42"/>
      <c r="BK59" s="44">
        <v>733.55</v>
      </c>
      <c r="BL59" s="44">
        <v>120.45</v>
      </c>
      <c r="BM59" s="44">
        <f>+BK59+BL59</f>
        <v>854</v>
      </c>
      <c r="BN59" s="47">
        <v>155.24867724867724</v>
      </c>
      <c r="BO59" s="47">
        <v>25.49206349206349</v>
      </c>
      <c r="BP59" s="45">
        <v>180.74074074074073</v>
      </c>
      <c r="BQ59" s="9">
        <v>4725</v>
      </c>
      <c r="BR59" s="4">
        <v>803</v>
      </c>
      <c r="BS59" s="4">
        <v>1986</v>
      </c>
      <c r="BT59" s="4" t="s">
        <v>872</v>
      </c>
      <c r="BU59" s="4" t="s">
        <v>119</v>
      </c>
      <c r="BV59" s="4" t="s">
        <v>871</v>
      </c>
      <c r="BW59" s="4" t="s">
        <v>1030</v>
      </c>
      <c r="BX59" s="4"/>
      <c r="BY59" s="9">
        <f>+INT(BK59*faktorji!$B$3)</f>
        <v>47680</v>
      </c>
      <c r="BZ59" s="9">
        <f>+INT(BL59*faktorji!$B$4)</f>
        <v>19874</v>
      </c>
      <c r="CA59" s="4"/>
      <c r="CB59" s="4">
        <v>1</v>
      </c>
      <c r="CC59" s="4">
        <v>1</v>
      </c>
      <c r="CD59" s="4">
        <v>0</v>
      </c>
      <c r="CE59" s="4">
        <v>0</v>
      </c>
      <c r="CF59" s="4">
        <v>1</v>
      </c>
      <c r="CG59" s="4">
        <v>1</v>
      </c>
      <c r="CH59" s="4">
        <v>1</v>
      </c>
      <c r="CI59" s="9">
        <f>+BQ59*(CB59*faktorji!$B$21+'MOL_tabela rezultatov'!CF189*faktorji!$B$23+'MOL_tabela rezultatov'!CH189*faktorji!$B$26)+faktorji!$B$27*CG59</f>
        <v>166837.5</v>
      </c>
      <c r="CJ59" s="9">
        <f>+(BZ59*CF59*faktorji!$B$18)+(CG59*faktorji!$B$17*('MOL_tabela rezultatov'!BY189+'MOL_tabela rezultatov'!BZ189))+('MOL_tabela rezultatov'!CH189*faktorji!$B$16*'MOL_tabela rezultatov'!BY189)+('MOL_tabela rezultatov'!CB189*faktorji!$B$12*'MOL_tabela rezultatov'!BY189)</f>
        <v>3646.8999999999996</v>
      </c>
      <c r="CK59" s="66">
        <f>+CI59/CJ59</f>
        <v>45.747758370122575</v>
      </c>
      <c r="CL59" s="3" t="str">
        <f>CONCATENATE(IF(CB59&gt;0,"kotlovnica/toplotna postaja, ",""),IF(CF59&gt;0,"razsvetljava, ",""),IF(CG59&gt;0,"energetsko upravljanje, ",""),IF(CH59&gt;0,"manjši investicijski in organizacijski ukrepi, ",""))</f>
        <v xml:space="preserve">kotlovnica/toplotna postaja, razsvetljava, energetsko upravljanje, manjši investicijski in organizacijski ukrepi, </v>
      </c>
      <c r="CM59" s="9">
        <f>+CJ59*0.9</f>
        <v>3282.2099999999996</v>
      </c>
      <c r="CN59" s="9">
        <f>+CJ59*0.9</f>
        <v>3282.2099999999996</v>
      </c>
      <c r="CO59" s="9">
        <f>+CJ59*0.9</f>
        <v>3282.2099999999996</v>
      </c>
      <c r="CP59" s="69">
        <f>+IF(CI59-SUM(CM59:CO59)&lt;0,0,CI59-SUM(CM59:CO59))</f>
        <v>156990.87</v>
      </c>
      <c r="CQ59" s="9">
        <f>+(BQ59*CE59*faktorji!$B$24)+(BQ59^0.5*CC59*4*4*0.66*faktorji!$B$22)+(BQ59^0.5*CD59*4*4*0.33*faktorji!$B$25)</f>
        <v>50811.599305670352</v>
      </c>
      <c r="CR59" s="3" t="str">
        <f t="shared" si="1"/>
        <v xml:space="preserve">izolacija ovoja, </v>
      </c>
      <c r="CS59" s="9">
        <f>+BQ59*('MOL_tabela rezultatov'!CH59*faktorji!$B$26)+faktorji!$B$27*CG59</f>
        <v>25087.5</v>
      </c>
      <c r="CT59" s="3" t="str">
        <f t="shared" si="0"/>
        <v xml:space="preserve">energetsko upravljanje, manjši investicijski in organizacijski ukrepi, </v>
      </c>
      <c r="CU59" s="9">
        <f t="shared" si="2"/>
        <v>6271.875</v>
      </c>
      <c r="CV59" s="9">
        <f t="shared" ref="CV59:CX59" si="28">+CU59</f>
        <v>6271.875</v>
      </c>
      <c r="CW59" s="9">
        <f t="shared" si="28"/>
        <v>6271.875</v>
      </c>
      <c r="CX59" s="69">
        <f t="shared" si="28"/>
        <v>6271.875</v>
      </c>
    </row>
    <row r="60" spans="1:102" s="10" customFormat="1" ht="18" hidden="1" customHeight="1">
      <c r="A60" s="53" t="s">
        <v>322</v>
      </c>
      <c r="B60" s="2" t="s">
        <v>323</v>
      </c>
      <c r="C60" s="57"/>
      <c r="D60" s="57"/>
      <c r="E60" s="51" t="s">
        <v>1174</v>
      </c>
      <c r="F60" s="51"/>
      <c r="G60" s="51">
        <v>4</v>
      </c>
      <c r="H60" s="51"/>
      <c r="I60" s="51"/>
      <c r="J60" s="51">
        <v>7</v>
      </c>
      <c r="K60" s="37" t="s">
        <v>1244</v>
      </c>
      <c r="L60" s="50"/>
      <c r="M60" s="4" t="s">
        <v>6</v>
      </c>
      <c r="N60" s="25"/>
      <c r="O60" s="25">
        <v>14.8</v>
      </c>
      <c r="P60" s="25"/>
      <c r="Q60" s="25"/>
      <c r="R60" s="25"/>
      <c r="S60" s="25"/>
      <c r="T60" s="25">
        <v>1.42</v>
      </c>
      <c r="U60" s="25">
        <v>16.22</v>
      </c>
      <c r="V60" s="30">
        <v>16.052453086140627</v>
      </c>
      <c r="W60" s="30">
        <v>167.30725751752206</v>
      </c>
      <c r="X60" s="31"/>
      <c r="Y60" s="31">
        <v>9.6</v>
      </c>
      <c r="Z60" s="31"/>
      <c r="AA60" s="31"/>
      <c r="AB60" s="31"/>
      <c r="AC60" s="31">
        <v>1.35</v>
      </c>
      <c r="AD60" s="31"/>
      <c r="AE60" s="32">
        <v>108.52362649785215</v>
      </c>
      <c r="AF60" s="1"/>
      <c r="AG60" s="4"/>
      <c r="AH60" s="4">
        <v>1981</v>
      </c>
      <c r="AI60" s="6">
        <v>88.46</v>
      </c>
      <c r="AJ60" s="38">
        <v>100</v>
      </c>
      <c r="AK60" s="3"/>
      <c r="AL60" s="1" t="s">
        <v>324</v>
      </c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42"/>
      <c r="BH60" s="42">
        <v>18.899999999999999</v>
      </c>
      <c r="BI60" s="42"/>
      <c r="BJ60" s="42"/>
      <c r="BK60" s="44">
        <v>18.899999999999999</v>
      </c>
      <c r="BL60" s="44">
        <v>1.42</v>
      </c>
      <c r="BM60" s="44">
        <f>+BK60+BL60</f>
        <v>20.32</v>
      </c>
      <c r="BN60" s="47">
        <v>213.65588966764642</v>
      </c>
      <c r="BO60" s="47">
        <v>16.05245308614063</v>
      </c>
      <c r="BP60" s="45">
        <v>229.70834275378704</v>
      </c>
      <c r="BQ60" s="6">
        <v>88.46</v>
      </c>
      <c r="BR60" s="4"/>
      <c r="BS60" s="4"/>
      <c r="BT60" s="4"/>
      <c r="BU60" s="4"/>
      <c r="BV60" s="4"/>
      <c r="BW60" s="4"/>
      <c r="BX60" s="4"/>
      <c r="BY60" s="9">
        <f>+INT(BK60*faktorji!$B$5)</f>
        <v>1795</v>
      </c>
      <c r="BZ60" s="9">
        <f>+INT(BL60*faktorji!$B$4)</f>
        <v>234</v>
      </c>
      <c r="CA60" s="4"/>
      <c r="CB60" s="4">
        <v>0</v>
      </c>
      <c r="CC60" s="4">
        <v>0</v>
      </c>
      <c r="CD60" s="4">
        <v>0</v>
      </c>
      <c r="CE60" s="4">
        <v>0</v>
      </c>
      <c r="CF60" s="4">
        <v>1</v>
      </c>
      <c r="CG60" s="4">
        <v>1</v>
      </c>
      <c r="CH60" s="4">
        <v>1</v>
      </c>
      <c r="CI60" s="9">
        <f>+BQ60*(CB60*faktorji!$B$21+'MOL_tabela rezultatov'!CF129*faktorji!$B$23+'MOL_tabela rezultatov'!CH129*faktorji!$B$26)+faktorji!$B$27*CG60</f>
        <v>18000</v>
      </c>
      <c r="CJ60" s="9">
        <f>+(BZ60*CF60*faktorji!$B$18)+(CG60*faktorji!$B$17*('MOL_tabela rezultatov'!BY129+'MOL_tabela rezultatov'!BZ129))+('MOL_tabela rezultatov'!CH129*faktorji!$B$16*'MOL_tabela rezultatov'!BY129)+('MOL_tabela rezultatov'!CB129*faktorji!$B$12*'MOL_tabela rezultatov'!BY129)</f>
        <v>13640.800000000001</v>
      </c>
      <c r="CK60" s="66">
        <f>+CI60/CJ60</f>
        <v>1.3195706996657086</v>
      </c>
      <c r="CL60" s="3" t="str">
        <f>CONCATENATE(IF(CB60&gt;0,"kotlovnica/toplotna postaja, ",""),IF(CF60&gt;0,"razsvetljava, ",""),IF(CG60&gt;0,"energetsko upravljanje, ",""),IF(CH60&gt;0,"manjši investicijski in organizacijski ukrepi, ",""))</f>
        <v xml:space="preserve">razsvetljava, energetsko upravljanje, manjši investicijski in organizacijski ukrepi, </v>
      </c>
      <c r="CM60" s="9">
        <f>+CJ60*0.9</f>
        <v>12276.720000000001</v>
      </c>
      <c r="CN60" s="9">
        <f>+CJ60*0.9</f>
        <v>12276.720000000001</v>
      </c>
      <c r="CO60" s="9">
        <f>+CJ60*0.9</f>
        <v>12276.720000000001</v>
      </c>
      <c r="CP60" s="69">
        <f>+IF(CI60-SUM(CM60:CO60)&lt;0,0,CI60-SUM(CM60:CO60))</f>
        <v>0</v>
      </c>
      <c r="CQ60" s="9">
        <f>+(BQ60*CE60*faktorji!$B$24)+(BQ60^0.5*CC60*4*4*0.66*faktorji!$B$22)+(BQ60^0.5*CD60*4*4*0.33*faktorji!$B$25)</f>
        <v>0</v>
      </c>
      <c r="CR60" s="3" t="str">
        <f t="shared" si="1"/>
        <v/>
      </c>
      <c r="CS60" s="9">
        <f>+BQ60*('MOL_tabela rezultatov'!CH60*faktorji!$B$26)+faktorji!$B$27*CG60</f>
        <v>18132.689999999999</v>
      </c>
      <c r="CT60" s="3" t="str">
        <f t="shared" si="0"/>
        <v xml:space="preserve">energetsko upravljanje, manjši investicijski in organizacijski ukrepi, </v>
      </c>
      <c r="CU60" s="9">
        <f t="shared" si="2"/>
        <v>4533.1724999999997</v>
      </c>
      <c r="CV60" s="9">
        <f t="shared" ref="CV60:CX60" si="29">+CU60</f>
        <v>4533.1724999999997</v>
      </c>
      <c r="CW60" s="9">
        <f t="shared" si="29"/>
        <v>4533.1724999999997</v>
      </c>
      <c r="CX60" s="69">
        <f t="shared" si="29"/>
        <v>4533.1724999999997</v>
      </c>
    </row>
    <row r="61" spans="1:102" s="10" customFormat="1" ht="18" hidden="1" customHeight="1">
      <c r="A61" s="53" t="s">
        <v>676</v>
      </c>
      <c r="B61" s="2" t="s">
        <v>677</v>
      </c>
      <c r="C61" s="57"/>
      <c r="D61" s="57"/>
      <c r="E61" s="51" t="s">
        <v>1176</v>
      </c>
      <c r="F61" s="51"/>
      <c r="G61" s="51">
        <v>2</v>
      </c>
      <c r="H61" s="51" t="s">
        <v>1253</v>
      </c>
      <c r="I61" s="51"/>
      <c r="J61" s="51">
        <v>2</v>
      </c>
      <c r="K61" s="37" t="s">
        <v>1243</v>
      </c>
      <c r="L61" s="50"/>
      <c r="M61" s="4" t="s">
        <v>7</v>
      </c>
      <c r="N61" s="25"/>
      <c r="O61" s="25"/>
      <c r="P61" s="25">
        <v>100</v>
      </c>
      <c r="Q61" s="25"/>
      <c r="R61" s="25"/>
      <c r="S61" s="25"/>
      <c r="T61" s="25">
        <v>33.164000000000001</v>
      </c>
      <c r="U61" s="25">
        <v>133.16399999999999</v>
      </c>
      <c r="V61" s="30">
        <v>44.937669376693769</v>
      </c>
      <c r="W61" s="30">
        <v>135.50135501355012</v>
      </c>
      <c r="X61" s="31"/>
      <c r="Y61" s="31"/>
      <c r="Z61" s="31"/>
      <c r="AA61" s="31"/>
      <c r="AB61" s="31"/>
      <c r="AC61" s="31"/>
      <c r="AD61" s="31"/>
      <c r="AE61" s="32"/>
      <c r="AF61" s="16" t="s">
        <v>678</v>
      </c>
      <c r="AG61" s="3">
        <v>2003</v>
      </c>
      <c r="AH61" s="4"/>
      <c r="AI61" s="6">
        <v>738</v>
      </c>
      <c r="AJ61" s="38">
        <v>100</v>
      </c>
      <c r="AK61" s="3"/>
      <c r="AL61" s="1" t="s">
        <v>421</v>
      </c>
      <c r="AM61" s="37"/>
      <c r="AN61" s="37"/>
      <c r="AO61" s="37"/>
      <c r="AP61" s="37"/>
      <c r="AQ61" s="37"/>
      <c r="AR61" s="37"/>
      <c r="AS61" s="37"/>
      <c r="AT61" s="37"/>
      <c r="AU61" s="37">
        <v>173</v>
      </c>
      <c r="AV61" s="37">
        <v>151</v>
      </c>
      <c r="AW61" s="37">
        <v>178</v>
      </c>
      <c r="AX61" s="37">
        <v>160</v>
      </c>
      <c r="AY61" s="37"/>
      <c r="AZ61" s="37"/>
      <c r="BA61" s="37"/>
      <c r="BB61" s="37"/>
      <c r="BC61" s="37">
        <v>28.1</v>
      </c>
      <c r="BD61" s="37">
        <v>29.1</v>
      </c>
      <c r="BE61" s="37">
        <v>29.8</v>
      </c>
      <c r="BF61" s="37">
        <v>29.1</v>
      </c>
      <c r="BG61" s="42"/>
      <c r="BH61" s="42"/>
      <c r="BI61" s="42">
        <v>165.5</v>
      </c>
      <c r="BJ61" s="42"/>
      <c r="BK61" s="44">
        <v>165.5</v>
      </c>
      <c r="BL61" s="44">
        <v>29.024999999999999</v>
      </c>
      <c r="BM61" s="44">
        <f>+BK61+BL61</f>
        <v>194.52500000000001</v>
      </c>
      <c r="BN61" s="47">
        <v>309.34579439252337</v>
      </c>
      <c r="BO61" s="47">
        <v>54.252336448598129</v>
      </c>
      <c r="BP61" s="45">
        <v>363.59813084112147</v>
      </c>
      <c r="BQ61" s="9">
        <v>535</v>
      </c>
      <c r="BR61" s="4">
        <v>115</v>
      </c>
      <c r="BS61" s="4">
        <v>2003</v>
      </c>
      <c r="BT61" s="4" t="s">
        <v>872</v>
      </c>
      <c r="BU61" s="4"/>
      <c r="BV61" s="4"/>
      <c r="BW61" s="4"/>
      <c r="BX61" s="4" t="s">
        <v>906</v>
      </c>
      <c r="BY61" s="9">
        <f>+INT(BK61*faktorji!$B$6)</f>
        <v>20687</v>
      </c>
      <c r="BZ61" s="9">
        <f>+INT(BL61*faktorji!$B$4)</f>
        <v>4789</v>
      </c>
      <c r="CA61" s="3" t="s">
        <v>1304</v>
      </c>
      <c r="CB61" s="4">
        <v>0</v>
      </c>
      <c r="CC61" s="4">
        <v>0</v>
      </c>
      <c r="CD61" s="4">
        <v>0</v>
      </c>
      <c r="CE61" s="4">
        <v>0</v>
      </c>
      <c r="CF61" s="4">
        <v>0</v>
      </c>
      <c r="CG61" s="4">
        <v>1</v>
      </c>
      <c r="CH61" s="4">
        <v>1</v>
      </c>
      <c r="CI61" s="9">
        <f>+BQ61*(CB61*faktorji!$B$21+'MOL_tabela rezultatov'!CF249*faktorji!$B$23+'MOL_tabela rezultatov'!CH249*faktorji!$B$26)+faktorji!$B$27*CG61</f>
        <v>18802.5</v>
      </c>
      <c r="CJ61" s="9">
        <f>+(BZ61*CF61*faktorji!$B$18)+(CG61*faktorji!$B$17*('MOL_tabela rezultatov'!BY249+'MOL_tabela rezultatov'!BZ249))+('MOL_tabela rezultatov'!CH249*faktorji!$B$16*'MOL_tabela rezultatov'!BY249)+('MOL_tabela rezultatov'!CB249*faktorji!$B$12*'MOL_tabela rezultatov'!BY249)</f>
        <v>10356.6</v>
      </c>
      <c r="CK61" s="66">
        <f>+CI61/CJ61</f>
        <v>1.8155089508139737</v>
      </c>
      <c r="CL61" s="3" t="str">
        <f>CONCATENATE(IF(CB61&gt;0,"kotlovnica/toplotna postaja, ",""),IF(CF61&gt;0,"razsvetljava, ",""),IF(CG61&gt;0,"energetsko upravljanje, ",""),IF(CH61&gt;0,"manjši investicijski in organizacijski ukrepi, ",""))</f>
        <v xml:space="preserve">energetsko upravljanje, manjši investicijski in organizacijski ukrepi, </v>
      </c>
      <c r="CM61" s="9">
        <f>+CJ61*0.9</f>
        <v>9320.94</v>
      </c>
      <c r="CN61" s="9">
        <f>+CJ61*0.9</f>
        <v>9320.94</v>
      </c>
      <c r="CO61" s="9">
        <f>+CJ61*0.9</f>
        <v>9320.94</v>
      </c>
      <c r="CP61" s="69">
        <f>+IF(CI61-SUM(CM61:CO61)&lt;0,0,CI61-SUM(CM61:CO61))</f>
        <v>0</v>
      </c>
      <c r="CQ61" s="9">
        <f>+(BQ61*CE61*faktorji!$B$24)+(BQ61^0.5*CC61*4*4*0.66*faktorji!$B$22)+(BQ61^0.5*CD61*4*4*0.33*faktorji!$B$25)</f>
        <v>0</v>
      </c>
      <c r="CR61" s="3" t="str">
        <f t="shared" si="1"/>
        <v/>
      </c>
      <c r="CS61" s="9">
        <f>+BQ61*('MOL_tabela rezultatov'!CH61*faktorji!$B$26)+faktorji!$B$27*CG61</f>
        <v>18802.5</v>
      </c>
      <c r="CT61" s="3" t="str">
        <f t="shared" si="0"/>
        <v xml:space="preserve">energetsko upravljanje, manjši investicijski in organizacijski ukrepi, </v>
      </c>
      <c r="CU61" s="9">
        <f t="shared" si="2"/>
        <v>4700.625</v>
      </c>
      <c r="CV61" s="9">
        <f t="shared" ref="CV61:CX61" si="30">+CU61</f>
        <v>4700.625</v>
      </c>
      <c r="CW61" s="9">
        <f t="shared" si="30"/>
        <v>4700.625</v>
      </c>
      <c r="CX61" s="69">
        <f t="shared" si="30"/>
        <v>4700.625</v>
      </c>
    </row>
    <row r="62" spans="1:102" s="10" customFormat="1" ht="18" hidden="1" customHeight="1">
      <c r="A62" s="53" t="s">
        <v>300</v>
      </c>
      <c r="B62" s="2" t="s">
        <v>301</v>
      </c>
      <c r="C62" s="57"/>
      <c r="D62" s="57"/>
      <c r="E62" s="51" t="s">
        <v>1174</v>
      </c>
      <c r="F62" s="51"/>
      <c r="G62" s="51">
        <v>4</v>
      </c>
      <c r="H62" s="51"/>
      <c r="I62" s="51"/>
      <c r="J62" s="51">
        <v>7</v>
      </c>
      <c r="K62" s="37" t="s">
        <v>1241</v>
      </c>
      <c r="L62" s="50"/>
      <c r="M62" s="4" t="s">
        <v>7</v>
      </c>
      <c r="N62" s="25"/>
      <c r="O62" s="25"/>
      <c r="P62" s="25">
        <v>134.9</v>
      </c>
      <c r="Q62" s="25"/>
      <c r="R62" s="25"/>
      <c r="S62" s="25"/>
      <c r="T62" s="25">
        <v>9.65</v>
      </c>
      <c r="U62" s="25">
        <v>144.55000000000001</v>
      </c>
      <c r="V62" s="30">
        <v>5.7372175980975033</v>
      </c>
      <c r="W62" s="30">
        <v>80.202140309155766</v>
      </c>
      <c r="X62" s="31"/>
      <c r="Y62" s="31"/>
      <c r="Z62" s="31">
        <v>139.6</v>
      </c>
      <c r="AA62" s="31"/>
      <c r="AB62" s="31"/>
      <c r="AC62" s="31">
        <v>9.9499999999999993</v>
      </c>
      <c r="AD62" s="31"/>
      <c r="AE62" s="32">
        <v>82.996432818073728</v>
      </c>
      <c r="AF62" s="1" t="s">
        <v>302</v>
      </c>
      <c r="AG62" s="4">
        <v>1997</v>
      </c>
      <c r="AH62" s="4" t="s">
        <v>303</v>
      </c>
      <c r="AI62" s="6">
        <v>1682</v>
      </c>
      <c r="AJ62" s="38">
        <v>100</v>
      </c>
      <c r="AK62" s="3"/>
      <c r="AL62" s="1" t="s">
        <v>127</v>
      </c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42"/>
      <c r="BH62" s="42"/>
      <c r="BI62" s="42">
        <v>134</v>
      </c>
      <c r="BJ62" s="42"/>
      <c r="BK62" s="44">
        <v>134</v>
      </c>
      <c r="BL62" s="44">
        <v>9.65</v>
      </c>
      <c r="BM62" s="44">
        <f>+BK62+BL62</f>
        <v>143.65</v>
      </c>
      <c r="BN62" s="47">
        <v>79.66706302021403</v>
      </c>
      <c r="BO62" s="47">
        <v>5.7372175980975033</v>
      </c>
      <c r="BP62" s="45">
        <v>85.404280618311532</v>
      </c>
      <c r="BQ62" s="6">
        <v>1682</v>
      </c>
      <c r="BR62" s="4"/>
      <c r="BS62" s="4"/>
      <c r="BT62" s="4"/>
      <c r="BU62" s="4"/>
      <c r="BV62" s="4"/>
      <c r="BW62" s="4"/>
      <c r="BX62" s="4"/>
      <c r="BY62" s="9">
        <f>+INT(BK62*faktorji!$B$6)</f>
        <v>16750</v>
      </c>
      <c r="BZ62" s="9">
        <f>+INT(BL62*faktorji!$B$4)</f>
        <v>1592</v>
      </c>
      <c r="CA62" s="4"/>
      <c r="CB62" s="4">
        <v>0</v>
      </c>
      <c r="CC62" s="4">
        <v>0</v>
      </c>
      <c r="CD62" s="4">
        <v>0</v>
      </c>
      <c r="CE62" s="4">
        <v>0</v>
      </c>
      <c r="CF62" s="4">
        <v>1</v>
      </c>
      <c r="CG62" s="4">
        <v>1</v>
      </c>
      <c r="CH62" s="4">
        <v>1</v>
      </c>
      <c r="CI62" s="9">
        <f>+BQ62*(CB62*faktorji!$B$21+'MOL_tabela rezultatov'!CF118*faktorji!$B$23+'MOL_tabela rezultatov'!CH118*faktorji!$B$26)+faktorji!$B$27*CG62</f>
        <v>45753</v>
      </c>
      <c r="CJ62" s="9">
        <f>+(BZ62*CF62*faktorji!$B$18)+(CG62*faktorji!$B$17*('MOL_tabela rezultatov'!BY118+'MOL_tabela rezultatov'!BZ118))+('MOL_tabela rezultatov'!CH118*faktorji!$B$16*'MOL_tabela rezultatov'!BY118)+('MOL_tabela rezultatov'!CB118*faktorji!$B$12*'MOL_tabela rezultatov'!BY118)</f>
        <v>1156.7</v>
      </c>
      <c r="CK62" s="66">
        <f>+CI62/CJ62</f>
        <v>39.554767874124664</v>
      </c>
      <c r="CL62" s="3" t="str">
        <f>CONCATENATE(IF(CB62&gt;0,"kotlovnica/toplotna postaja, ",""),IF(CF62&gt;0,"razsvetljava, ",""),IF(CG62&gt;0,"energetsko upravljanje, ",""),IF(CH62&gt;0,"manjši investicijski in organizacijski ukrepi, ",""))</f>
        <v xml:space="preserve">razsvetljava, energetsko upravljanje, manjši investicijski in organizacijski ukrepi, </v>
      </c>
      <c r="CM62" s="9">
        <f>+CJ62*0.9</f>
        <v>1041.03</v>
      </c>
      <c r="CN62" s="9">
        <f>+CJ62*0.9</f>
        <v>1041.03</v>
      </c>
      <c r="CO62" s="9">
        <f>+CJ62*0.9</f>
        <v>1041.03</v>
      </c>
      <c r="CP62" s="69">
        <f>+IF(CI62-SUM(CM62:CO62)&lt;0,0,CI62-SUM(CM62:CO62))</f>
        <v>42629.91</v>
      </c>
      <c r="CQ62" s="9">
        <f>+(BQ62*CE62*faktorji!$B$24)+(BQ62^0.5*CC62*4*4*0.66*faktorji!$B$22)+(BQ62^0.5*CD62*4*4*0.33*faktorji!$B$25)</f>
        <v>0</v>
      </c>
      <c r="CR62" s="3" t="str">
        <f t="shared" si="1"/>
        <v/>
      </c>
      <c r="CS62" s="9">
        <f>+BQ62*('MOL_tabela rezultatov'!CH62*faktorji!$B$26)+faktorji!$B$27*CG62</f>
        <v>20523</v>
      </c>
      <c r="CT62" s="3" t="str">
        <f t="shared" si="0"/>
        <v xml:space="preserve">energetsko upravljanje, manjši investicijski in organizacijski ukrepi, </v>
      </c>
      <c r="CU62" s="9">
        <f t="shared" si="2"/>
        <v>5130.75</v>
      </c>
      <c r="CV62" s="9">
        <f t="shared" ref="CV62:CX62" si="31">+CU62</f>
        <v>5130.75</v>
      </c>
      <c r="CW62" s="9">
        <f t="shared" si="31"/>
        <v>5130.75</v>
      </c>
      <c r="CX62" s="69">
        <f t="shared" si="31"/>
        <v>5130.75</v>
      </c>
    </row>
    <row r="63" spans="1:102" s="10" customFormat="1" ht="18" hidden="1" customHeight="1">
      <c r="A63" s="53" t="s">
        <v>528</v>
      </c>
      <c r="B63" s="2" t="s">
        <v>529</v>
      </c>
      <c r="C63" s="57"/>
      <c r="D63" s="57"/>
      <c r="E63" s="51" t="s">
        <v>1175</v>
      </c>
      <c r="F63" s="51"/>
      <c r="G63" s="51">
        <v>2</v>
      </c>
      <c r="H63" s="51" t="s">
        <v>1251</v>
      </c>
      <c r="I63" s="51"/>
      <c r="J63" s="51">
        <v>2</v>
      </c>
      <c r="K63" s="37" t="s">
        <v>1243</v>
      </c>
      <c r="L63" s="50"/>
      <c r="M63" s="4" t="s">
        <v>7</v>
      </c>
      <c r="N63" s="25"/>
      <c r="O63" s="25"/>
      <c r="P63" s="28">
        <v>650</v>
      </c>
      <c r="Q63" s="25"/>
      <c r="R63" s="25"/>
      <c r="S63" s="25"/>
      <c r="T63" s="25">
        <v>158.63200000000001</v>
      </c>
      <c r="U63" s="25">
        <v>808.63200000000006</v>
      </c>
      <c r="V63" s="30">
        <v>29.840481565086531</v>
      </c>
      <c r="W63" s="30">
        <v>122.27238525206923</v>
      </c>
      <c r="X63" s="31"/>
      <c r="Y63" s="31"/>
      <c r="Z63" s="31"/>
      <c r="AA63" s="31"/>
      <c r="AB63" s="31"/>
      <c r="AC63" s="31"/>
      <c r="AD63" s="31"/>
      <c r="AE63" s="32"/>
      <c r="AF63" s="16" t="s">
        <v>530</v>
      </c>
      <c r="AG63" s="3">
        <v>1997</v>
      </c>
      <c r="AH63" s="4"/>
      <c r="AI63" s="6">
        <v>5316</v>
      </c>
      <c r="AJ63" s="38">
        <v>100</v>
      </c>
      <c r="AK63" s="3"/>
      <c r="AL63" s="1" t="s">
        <v>531</v>
      </c>
      <c r="AM63" s="37"/>
      <c r="AN63" s="37"/>
      <c r="AO63" s="37"/>
      <c r="AP63" s="37"/>
      <c r="AQ63" s="37"/>
      <c r="AR63" s="37"/>
      <c r="AS63" s="37"/>
      <c r="AT63" s="37"/>
      <c r="AU63" s="39">
        <v>700</v>
      </c>
      <c r="AV63" s="39">
        <v>700</v>
      </c>
      <c r="AW63" s="39">
        <v>700</v>
      </c>
      <c r="AX63" s="39">
        <v>680</v>
      </c>
      <c r="AY63" s="37"/>
      <c r="AZ63" s="37"/>
      <c r="BA63" s="37"/>
      <c r="BB63" s="37"/>
      <c r="BC63" s="37">
        <v>166.5</v>
      </c>
      <c r="BD63" s="37">
        <v>179.4</v>
      </c>
      <c r="BE63" s="37">
        <v>180.1</v>
      </c>
      <c r="BF63" s="37">
        <v>174</v>
      </c>
      <c r="BG63" s="42"/>
      <c r="BH63" s="42"/>
      <c r="BI63" s="42">
        <v>695</v>
      </c>
      <c r="BJ63" s="42"/>
      <c r="BK63" s="44">
        <v>695</v>
      </c>
      <c r="BL63" s="44">
        <v>175</v>
      </c>
      <c r="BM63" s="44">
        <f>+BK63+BL63</f>
        <v>870</v>
      </c>
      <c r="BN63" s="47">
        <v>130.73739653875094</v>
      </c>
      <c r="BO63" s="47">
        <v>32.919488337095558</v>
      </c>
      <c r="BP63" s="45">
        <v>163.65688487584652</v>
      </c>
      <c r="BQ63" s="9">
        <v>5316</v>
      </c>
      <c r="BR63" s="4" t="s">
        <v>1045</v>
      </c>
      <c r="BS63" s="4"/>
      <c r="BT63" s="1" t="s">
        <v>1046</v>
      </c>
      <c r="BU63" s="4"/>
      <c r="BV63" s="4" t="s">
        <v>870</v>
      </c>
      <c r="BW63" s="4"/>
      <c r="BX63" s="4"/>
      <c r="BY63" s="9">
        <f>+INT(BK63*faktorji!$B$6)</f>
        <v>86875</v>
      </c>
      <c r="BZ63" s="9">
        <f>+INT(BL63*faktorji!$B$4)</f>
        <v>28875</v>
      </c>
      <c r="CA63" s="3" t="s">
        <v>1300</v>
      </c>
      <c r="CB63" s="4">
        <v>1</v>
      </c>
      <c r="CC63" s="4">
        <v>0</v>
      </c>
      <c r="CD63" s="4">
        <v>0</v>
      </c>
      <c r="CE63" s="4">
        <v>1</v>
      </c>
      <c r="CF63" s="4">
        <v>1</v>
      </c>
      <c r="CG63" s="4">
        <v>1</v>
      </c>
      <c r="CH63" s="4">
        <v>1</v>
      </c>
      <c r="CI63" s="9">
        <f>+BQ63*(CB63*faktorji!$B$21+'MOL_tabela rezultatov'!CF201*faktorji!$B$23+'MOL_tabela rezultatov'!CH201*faktorji!$B$26)+faktorji!$B$27*CG63</f>
        <v>185454</v>
      </c>
      <c r="CJ63" s="9">
        <f>+(BZ63*CF63*faktorji!$B$18)+(CG63*faktorji!$B$17*('MOL_tabela rezultatov'!BY201+'MOL_tabela rezultatov'!BZ201))+('MOL_tabela rezultatov'!CH201*faktorji!$B$16*'MOL_tabela rezultatov'!BY201)+('MOL_tabela rezultatov'!CB201*faktorji!$B$12*'MOL_tabela rezultatov'!BY201)</f>
        <v>11788.45</v>
      </c>
      <c r="CK63" s="66">
        <f>+CI63/CJ63</f>
        <v>15.73183921550331</v>
      </c>
      <c r="CL63" s="3" t="str">
        <f>CONCATENATE(IF(CB63&gt;0,"kotlovnica/toplotna postaja, ",""),IF(CF63&gt;0,"razsvetljava, ",""),IF(CG63&gt;0,"energetsko upravljanje, ",""),IF(CH63&gt;0,"manjši investicijski in organizacijski ukrepi, ",""))</f>
        <v xml:space="preserve">kotlovnica/toplotna postaja, razsvetljava, energetsko upravljanje, manjši investicijski in organizacijski ukrepi, </v>
      </c>
      <c r="CM63" s="9">
        <f>+CJ63*0.9</f>
        <v>10609.605000000001</v>
      </c>
      <c r="CN63" s="9">
        <f>+CJ63*0.9</f>
        <v>10609.605000000001</v>
      </c>
      <c r="CO63" s="9">
        <f>+CJ63*0.9</f>
        <v>10609.605000000001</v>
      </c>
      <c r="CP63" s="69">
        <f>+IF(CI63-SUM(CM63:CO63)&lt;0,0,CI63-SUM(CM63:CO63))</f>
        <v>153625.185</v>
      </c>
      <c r="CQ63" s="9">
        <f>+(BQ63*CE63*faktorji!$B$24)+(BQ63^0.5*CC63*4*4*0.66*faktorji!$B$22)+(BQ63^0.5*CD63*4*4*0.33*faktorji!$B$25)</f>
        <v>106320</v>
      </c>
      <c r="CR63" s="3" t="str">
        <f t="shared" si="1"/>
        <v xml:space="preserve">izolacija podstrešja, </v>
      </c>
      <c r="CS63" s="9">
        <f>+BQ63*('MOL_tabela rezultatov'!CH63*faktorji!$B$26)+faktorji!$B$27*CG63</f>
        <v>25974</v>
      </c>
      <c r="CT63" s="3" t="str">
        <f t="shared" si="0"/>
        <v xml:space="preserve">energetsko upravljanje, manjši investicijski in organizacijski ukrepi, </v>
      </c>
      <c r="CU63" s="9">
        <f t="shared" si="2"/>
        <v>6493.5</v>
      </c>
      <c r="CV63" s="9">
        <f t="shared" ref="CV63:CX63" si="32">+CU63</f>
        <v>6493.5</v>
      </c>
      <c r="CW63" s="9">
        <f t="shared" si="32"/>
        <v>6493.5</v>
      </c>
      <c r="CX63" s="69">
        <f t="shared" si="32"/>
        <v>6493.5</v>
      </c>
    </row>
    <row r="64" spans="1:102" s="10" customFormat="1" ht="18" hidden="1" customHeight="1">
      <c r="A64" s="53" t="s">
        <v>583</v>
      </c>
      <c r="B64" s="2" t="s">
        <v>584</v>
      </c>
      <c r="C64" s="57"/>
      <c r="D64" s="57"/>
      <c r="E64" s="51" t="s">
        <v>1175</v>
      </c>
      <c r="F64" s="51"/>
      <c r="G64" s="51">
        <v>2</v>
      </c>
      <c r="H64" s="51" t="s">
        <v>1251</v>
      </c>
      <c r="I64" s="51"/>
      <c r="J64" s="51">
        <v>2</v>
      </c>
      <c r="K64" s="37" t="s">
        <v>1243</v>
      </c>
      <c r="L64" s="50"/>
      <c r="M64" s="4" t="s">
        <v>6</v>
      </c>
      <c r="N64" s="25"/>
      <c r="O64" s="25">
        <v>585.4</v>
      </c>
      <c r="P64" s="25"/>
      <c r="Q64" s="25"/>
      <c r="R64" s="25"/>
      <c r="S64" s="25"/>
      <c r="T64" s="25">
        <v>193.30799999999999</v>
      </c>
      <c r="U64" s="25">
        <v>778.70799999999997</v>
      </c>
      <c r="V64" s="30">
        <v>50.897314375987357</v>
      </c>
      <c r="W64" s="30">
        <v>154.13375460768825</v>
      </c>
      <c r="X64" s="31"/>
      <c r="Y64" s="31"/>
      <c r="Z64" s="31"/>
      <c r="AA64" s="31"/>
      <c r="AB64" s="31"/>
      <c r="AC64" s="31"/>
      <c r="AD64" s="31"/>
      <c r="AE64" s="32"/>
      <c r="AF64" s="16" t="s">
        <v>585</v>
      </c>
      <c r="AG64" s="3">
        <v>1991</v>
      </c>
      <c r="AH64" s="4"/>
      <c r="AI64" s="6">
        <v>3798</v>
      </c>
      <c r="AJ64" s="38">
        <v>100</v>
      </c>
      <c r="AK64" s="3"/>
      <c r="AL64" s="1" t="s">
        <v>586</v>
      </c>
      <c r="AM64" s="37"/>
      <c r="AN64" s="37"/>
      <c r="AO64" s="37"/>
      <c r="AP64" s="37"/>
      <c r="AQ64" s="37">
        <f>(57801*9.5)/1000</f>
        <v>549.10950000000003</v>
      </c>
      <c r="AR64" s="37">
        <f>(68136*9.5)/1000</f>
        <v>647.29200000000003</v>
      </c>
      <c r="AS64" s="37">
        <f>(58521*9.5)/1000</f>
        <v>555.94949999999994</v>
      </c>
      <c r="AT64" s="37">
        <f>(69112*9.5)/1000</f>
        <v>656.56399999999996</v>
      </c>
      <c r="AU64" s="37"/>
      <c r="AV64" s="37"/>
      <c r="AW64" s="37"/>
      <c r="AX64" s="37"/>
      <c r="AY64" s="37"/>
      <c r="AZ64" s="37"/>
      <c r="BA64" s="37"/>
      <c r="BB64" s="37"/>
      <c r="BC64" s="37">
        <v>139.34</v>
      </c>
      <c r="BD64" s="37">
        <v>153.68</v>
      </c>
      <c r="BE64" s="37">
        <v>122.2</v>
      </c>
      <c r="BF64" s="37">
        <v>95.4</v>
      </c>
      <c r="BG64" s="42"/>
      <c r="BH64" s="42">
        <v>602.22874999999999</v>
      </c>
      <c r="BI64" s="42"/>
      <c r="BJ64" s="42"/>
      <c r="BK64" s="44">
        <v>602.22874999999999</v>
      </c>
      <c r="BL64" s="44">
        <v>127.655</v>
      </c>
      <c r="BM64" s="44">
        <f>+BK64+BL64</f>
        <v>729.88374999999996</v>
      </c>
      <c r="BN64" s="47">
        <v>159.06728737453778</v>
      </c>
      <c r="BO64" s="47">
        <v>33.717643951399893</v>
      </c>
      <c r="BP64" s="45">
        <v>192.78493132593766</v>
      </c>
      <c r="BQ64" s="9">
        <v>3786</v>
      </c>
      <c r="BR64" s="4" t="s">
        <v>1071</v>
      </c>
      <c r="BS64" s="4">
        <v>1992</v>
      </c>
      <c r="BT64" s="1" t="s">
        <v>1072</v>
      </c>
      <c r="BU64" s="4"/>
      <c r="BV64" s="4" t="s">
        <v>1073</v>
      </c>
      <c r="BW64" s="4" t="s">
        <v>1074</v>
      </c>
      <c r="BX64" s="4"/>
      <c r="BY64" s="9">
        <f>+INT(BK64*faktorji!$B$5)</f>
        <v>57211</v>
      </c>
      <c r="BZ64" s="9">
        <f>+INT(BL64*faktorji!$B$4)</f>
        <v>21063</v>
      </c>
      <c r="CA64" s="3" t="s">
        <v>1308</v>
      </c>
      <c r="CB64" s="4">
        <v>1</v>
      </c>
      <c r="CC64" s="4">
        <v>1</v>
      </c>
      <c r="CD64" s="4">
        <v>1</v>
      </c>
      <c r="CE64" s="4">
        <v>1</v>
      </c>
      <c r="CF64" s="4">
        <v>1</v>
      </c>
      <c r="CG64" s="4">
        <v>1</v>
      </c>
      <c r="CH64" s="4">
        <v>1</v>
      </c>
      <c r="CI64" s="9" t="e">
        <f>+BQ64*(CB64*faktorji!$B$21+'MOL_tabela rezultatov'!#REF!*faktorji!$B$23+'MOL_tabela rezultatov'!#REF!*faktorji!$B$26)+faktorji!$B$27*CG64</f>
        <v>#REF!</v>
      </c>
      <c r="CJ64" s="9" t="e">
        <f>+(BZ64*CF64*faktorji!$B$18)+(CG64*faktorji!$B$17*('MOL_tabela rezultatov'!#REF!+'MOL_tabela rezultatov'!#REF!))+('MOL_tabela rezultatov'!#REF!*faktorji!$B$16*'MOL_tabela rezultatov'!#REF!)+('MOL_tabela rezultatov'!#REF!*faktorji!$B$12*'MOL_tabela rezultatov'!#REF!)</f>
        <v>#REF!</v>
      </c>
      <c r="CK64" s="66" t="e">
        <f>+CI64/CJ64</f>
        <v>#REF!</v>
      </c>
      <c r="CL64" s="3" t="str">
        <f>CONCATENATE(IF(CB64&gt;0,"kotlovnica/toplotna postaja, ",""),IF(CF64&gt;0,"razsvetljava, ",""),IF(CG64&gt;0,"energetsko upravljanje, ",""),IF(CH64&gt;0,"manjši investicijski in organizacijski ukrepi, ",""))</f>
        <v xml:space="preserve">kotlovnica/toplotna postaja, razsvetljava, energetsko upravljanje, manjši investicijski in organizacijski ukrepi, </v>
      </c>
      <c r="CM64" s="9" t="e">
        <f>+CJ64*0.9</f>
        <v>#REF!</v>
      </c>
      <c r="CN64" s="9" t="e">
        <f>+CJ64*0.9</f>
        <v>#REF!</v>
      </c>
      <c r="CO64" s="9" t="e">
        <f>+CJ64*0.9</f>
        <v>#REF!</v>
      </c>
      <c r="CP64" s="69" t="e">
        <f>+IF(CI64-SUM(CM64:CO64)&lt;0,0,CI64-SUM(CM64:CO64))</f>
        <v>#REF!</v>
      </c>
      <c r="CQ64" s="9">
        <f>+(BQ64*CE64*faktorji!$B$24)+(BQ64^0.5*CC64*4*4*0.66*faktorji!$B$22)+(BQ64^0.5*CD64*4*4*0.33*faktorji!$B$25)</f>
        <v>202423.56493421958</v>
      </c>
      <c r="CR64" s="3" t="str">
        <f t="shared" si="1"/>
        <v xml:space="preserve">izolacija ovoja, stavbno pohištvo, izolacija podstrešja, </v>
      </c>
      <c r="CS64" s="9">
        <f>+BQ64*('MOL_tabela rezultatov'!CH64*faktorji!$B$26)+faktorji!$B$27*CG64</f>
        <v>23679</v>
      </c>
      <c r="CT64" s="3" t="str">
        <f t="shared" ref="CT64:CT122" si="33">CONCATENATE(IF(CG64&gt;0,"energetsko upravljanje, ",""),IF(CH64&gt;0,"manjši investicijski in organizacijski ukrepi, ",""))</f>
        <v xml:space="preserve">energetsko upravljanje, manjši investicijski in organizacijski ukrepi, </v>
      </c>
      <c r="CU64" s="9">
        <f t="shared" si="2"/>
        <v>5919.75</v>
      </c>
      <c r="CV64" s="9">
        <f t="shared" ref="CV64:CX64" si="34">+CU64</f>
        <v>5919.75</v>
      </c>
      <c r="CW64" s="9">
        <f t="shared" si="34"/>
        <v>5919.75</v>
      </c>
      <c r="CX64" s="69">
        <f t="shared" si="34"/>
        <v>5919.75</v>
      </c>
    </row>
    <row r="65" spans="1:102" s="10" customFormat="1" ht="18" hidden="1" customHeight="1">
      <c r="A65" s="53" t="s">
        <v>714</v>
      </c>
      <c r="B65" s="2" t="s">
        <v>715</v>
      </c>
      <c r="C65" s="57"/>
      <c r="D65" s="57"/>
      <c r="E65" s="51" t="s">
        <v>1176</v>
      </c>
      <c r="F65" s="51"/>
      <c r="G65" s="51">
        <v>3</v>
      </c>
      <c r="H65" s="51"/>
      <c r="I65" s="51"/>
      <c r="J65" s="51">
        <v>7</v>
      </c>
      <c r="K65" s="37" t="s">
        <v>1243</v>
      </c>
      <c r="L65" s="50"/>
      <c r="M65" s="4" t="s">
        <v>6</v>
      </c>
      <c r="N65" s="25"/>
      <c r="O65" s="25">
        <v>148.30000000000001</v>
      </c>
      <c r="P65" s="25"/>
      <c r="Q65" s="25"/>
      <c r="R65" s="25"/>
      <c r="S65" s="25"/>
      <c r="T65" s="25">
        <v>11.959</v>
      </c>
      <c r="U65" s="25">
        <v>160.25900000000001</v>
      </c>
      <c r="V65" s="30">
        <v>16.963120567375888</v>
      </c>
      <c r="W65" s="30">
        <v>210.35460992907801</v>
      </c>
      <c r="X65" s="31"/>
      <c r="Y65" s="31"/>
      <c r="Z65" s="31"/>
      <c r="AA65" s="31"/>
      <c r="AB65" s="31"/>
      <c r="AC65" s="31"/>
      <c r="AD65" s="31"/>
      <c r="AE65" s="32"/>
      <c r="AF65" s="16" t="s">
        <v>716</v>
      </c>
      <c r="AG65" s="3"/>
      <c r="AH65" s="4"/>
      <c r="AI65" s="6">
        <v>705</v>
      </c>
      <c r="AJ65" s="38">
        <v>100</v>
      </c>
      <c r="AK65" s="3"/>
      <c r="AL65" s="1" t="s">
        <v>717</v>
      </c>
      <c r="AM65" s="37"/>
      <c r="AN65" s="37"/>
      <c r="AO65" s="37"/>
      <c r="AP65" s="37"/>
      <c r="AQ65" s="37">
        <f>(18787*9.5)/1000</f>
        <v>178.47649999999999</v>
      </c>
      <c r="AR65" s="37">
        <f>(20533*9.5)/1000</f>
        <v>195.0635</v>
      </c>
      <c r="AS65" s="37">
        <f>(16407*9.5)/1000</f>
        <v>155.8665</v>
      </c>
      <c r="AT65" s="37">
        <f>(18787*9.5)/1000</f>
        <v>178.47649999999999</v>
      </c>
      <c r="AU65" s="37"/>
      <c r="AV65" s="37"/>
      <c r="AW65" s="37"/>
      <c r="AX65" s="37"/>
      <c r="AY65" s="37"/>
      <c r="AZ65" s="37"/>
      <c r="BA65" s="37"/>
      <c r="BB65" s="37"/>
      <c r="BC65" s="37">
        <v>31.3</v>
      </c>
      <c r="BD65" s="37">
        <v>31.8</v>
      </c>
      <c r="BE65" s="37">
        <v>27.4</v>
      </c>
      <c r="BF65" s="37">
        <v>24.9</v>
      </c>
      <c r="BG65" s="42"/>
      <c r="BH65" s="42">
        <v>176.97074999999998</v>
      </c>
      <c r="BI65" s="42"/>
      <c r="BJ65" s="42"/>
      <c r="BK65" s="44">
        <v>176.97074999999998</v>
      </c>
      <c r="BL65" s="44">
        <v>28.85</v>
      </c>
      <c r="BM65" s="44">
        <f>+BK65+BL65</f>
        <v>205.82074999999998</v>
      </c>
      <c r="BN65" s="47">
        <v>181.32248975409834</v>
      </c>
      <c r="BO65" s="47">
        <v>29.559426229508198</v>
      </c>
      <c r="BP65" s="45">
        <v>210.88191598360652</v>
      </c>
      <c r="BQ65" s="9">
        <v>976</v>
      </c>
      <c r="BR65" s="4">
        <v>200</v>
      </c>
      <c r="BS65" s="4"/>
      <c r="BT65" s="4" t="s">
        <v>872</v>
      </c>
      <c r="BU65" s="4"/>
      <c r="BV65" s="4" t="s">
        <v>898</v>
      </c>
      <c r="BW65" s="4"/>
      <c r="BX65" s="4" t="s">
        <v>925</v>
      </c>
      <c r="BY65" s="9">
        <f>+INT(BK65*faktorji!$B$5)</f>
        <v>16812</v>
      </c>
      <c r="BZ65" s="9">
        <f>+INT(BL65*faktorji!$B$4)</f>
        <v>4760</v>
      </c>
      <c r="CA65" s="4"/>
      <c r="CB65" s="4">
        <v>0</v>
      </c>
      <c r="CC65" s="4">
        <v>1</v>
      </c>
      <c r="CD65" s="4">
        <v>0</v>
      </c>
      <c r="CE65" s="4">
        <v>0</v>
      </c>
      <c r="CF65" s="4">
        <v>1</v>
      </c>
      <c r="CG65" s="4">
        <v>1</v>
      </c>
      <c r="CH65" s="4">
        <v>1</v>
      </c>
      <c r="CI65" s="9">
        <f>+BQ65*(CB65*faktorji!$B$21+'MOL_tabela rezultatov'!CF262*faktorji!$B$23+'MOL_tabela rezultatov'!CH262*faktorji!$B$26)+faktorji!$B$27*CG65</f>
        <v>34104</v>
      </c>
      <c r="CJ65" s="9">
        <f>+(BZ65*CF65*faktorji!$B$18)+(CG65*faktorji!$B$17*('MOL_tabela rezultatov'!BY262+'MOL_tabela rezultatov'!BZ262))+('MOL_tabela rezultatov'!CH262*faktorji!$B$16*'MOL_tabela rezultatov'!BY262)+('MOL_tabela rezultatov'!CB262*faktorji!$B$12*'MOL_tabela rezultatov'!BY262)</f>
        <v>1679.7</v>
      </c>
      <c r="CK65" s="66">
        <f>+CI65/CJ65</f>
        <v>20.303625647437041</v>
      </c>
      <c r="CL65" s="3" t="str">
        <f>CONCATENATE(IF(CB65&gt;0,"kotlovnica/toplotna postaja, ",""),IF(CF65&gt;0,"razsvetljava, ",""),IF(CG65&gt;0,"energetsko upravljanje, ",""),IF(CH65&gt;0,"manjši investicijski in organizacijski ukrepi, ",""))</f>
        <v xml:space="preserve">razsvetljava, energetsko upravljanje, manjši investicijski in organizacijski ukrepi, </v>
      </c>
      <c r="CM65" s="9">
        <f>+CJ65*0.9</f>
        <v>1511.73</v>
      </c>
      <c r="CN65" s="9">
        <f>+CJ65*0.9</f>
        <v>1511.73</v>
      </c>
      <c r="CO65" s="9">
        <f>+CJ65*0.9</f>
        <v>1511.73</v>
      </c>
      <c r="CP65" s="69">
        <f>+IF(CI65-SUM(CM65:CO65)&lt;0,0,CI65-SUM(CM65:CO65))</f>
        <v>29568.809999999998</v>
      </c>
      <c r="CQ65" s="9">
        <f>+(BQ65*CE65*faktorji!$B$24)+(BQ65^0.5*CC65*4*4*0.66*faktorji!$B$22)+(BQ65^0.5*CD65*4*4*0.33*faktorji!$B$25)</f>
        <v>23093.346241720796</v>
      </c>
      <c r="CR65" s="3" t="str">
        <f t="shared" ref="CR65:CR123" si="35">CONCATENATE(IF(CC65&gt;0,"izolacija ovoja, ",""),IF(CD65&gt;0,"stavbno pohištvo, ",""),IF(CE65&gt;0,"izolacija podstrešja, ",""))</f>
        <v xml:space="preserve">izolacija ovoja, </v>
      </c>
      <c r="CS65" s="9">
        <f>+BQ65*('MOL_tabela rezultatov'!CH65*faktorji!$B$26)+faktorji!$B$27*CG65</f>
        <v>19464</v>
      </c>
      <c r="CT65" s="3" t="str">
        <f t="shared" si="33"/>
        <v xml:space="preserve">energetsko upravljanje, manjši investicijski in organizacijski ukrepi, </v>
      </c>
      <c r="CU65" s="9">
        <f t="shared" si="2"/>
        <v>4866</v>
      </c>
      <c r="CV65" s="9">
        <f t="shared" ref="CV65:CX65" si="36">+CU65</f>
        <v>4866</v>
      </c>
      <c r="CW65" s="9">
        <f t="shared" si="36"/>
        <v>4866</v>
      </c>
      <c r="CX65" s="69">
        <f t="shared" si="36"/>
        <v>4866</v>
      </c>
    </row>
    <row r="66" spans="1:102" s="10" customFormat="1" ht="18" hidden="1" customHeight="1">
      <c r="A66" s="54" t="s">
        <v>162</v>
      </c>
      <c r="B66" s="126" t="s">
        <v>23</v>
      </c>
      <c r="C66" s="56"/>
      <c r="D66" s="56"/>
      <c r="E66" s="51" t="s">
        <v>1169</v>
      </c>
      <c r="F66" s="51"/>
      <c r="G66" s="51">
        <v>4</v>
      </c>
      <c r="H66" s="51"/>
      <c r="I66" s="51"/>
      <c r="J66" s="51">
        <v>6</v>
      </c>
      <c r="K66" s="37" t="s">
        <v>1242</v>
      </c>
      <c r="L66" s="50"/>
      <c r="M66" s="4" t="s">
        <v>6</v>
      </c>
      <c r="N66" s="25"/>
      <c r="O66" s="25">
        <v>26.734271929824562</v>
      </c>
      <c r="P66" s="25"/>
      <c r="Q66" s="25"/>
      <c r="R66" s="25"/>
      <c r="S66" s="25"/>
      <c r="T66" s="25">
        <v>10.542271929824562</v>
      </c>
      <c r="U66" s="25">
        <v>37.276543859649124</v>
      </c>
      <c r="V66" s="30">
        <v>45.835964912280701</v>
      </c>
      <c r="W66" s="30">
        <v>116.23596491228071</v>
      </c>
      <c r="X66" s="31"/>
      <c r="Y66" s="31"/>
      <c r="Z66" s="31"/>
      <c r="AA66" s="31"/>
      <c r="AB66" s="31"/>
      <c r="AC66" s="31"/>
      <c r="AD66" s="31"/>
      <c r="AE66" s="32"/>
      <c r="AF66" s="1" t="s">
        <v>1235</v>
      </c>
      <c r="AG66" s="4"/>
      <c r="AH66" s="4"/>
      <c r="AI66" s="6">
        <v>230</v>
      </c>
      <c r="AJ66" s="38"/>
      <c r="AK66" s="3"/>
      <c r="AL66" s="1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42"/>
      <c r="BH66" s="42">
        <v>27.24</v>
      </c>
      <c r="BI66" s="42"/>
      <c r="BJ66" s="42"/>
      <c r="BK66" s="44">
        <v>27.24</v>
      </c>
      <c r="BL66" s="44">
        <v>32.1</v>
      </c>
      <c r="BM66" s="44">
        <f>+BK66+BL66</f>
        <v>59.34</v>
      </c>
      <c r="BN66" s="47">
        <v>128.49056603773585</v>
      </c>
      <c r="BO66" s="47">
        <v>151.41509433962264</v>
      </c>
      <c r="BP66" s="45">
        <v>279.90566037735852</v>
      </c>
      <c r="BQ66" s="9">
        <v>212</v>
      </c>
      <c r="BR66" s="4"/>
      <c r="BS66" s="4"/>
      <c r="BT66" s="4" t="s">
        <v>872</v>
      </c>
      <c r="BU66" s="4" t="s">
        <v>136</v>
      </c>
      <c r="BV66" s="4"/>
      <c r="BW66" s="4"/>
      <c r="BX66" s="4"/>
      <c r="BY66" s="9">
        <f>+INT(BK66*faktorji!$B$5)</f>
        <v>2587</v>
      </c>
      <c r="BZ66" s="9">
        <f>+INT(BL66*faktorji!$B$4)</f>
        <v>5296</v>
      </c>
      <c r="CA66" s="4"/>
      <c r="CB66" s="4">
        <v>0</v>
      </c>
      <c r="CC66" s="4">
        <v>0</v>
      </c>
      <c r="CD66" s="4">
        <v>0</v>
      </c>
      <c r="CE66" s="4">
        <v>0</v>
      </c>
      <c r="CF66" s="4">
        <v>1</v>
      </c>
      <c r="CG66" s="4">
        <v>1</v>
      </c>
      <c r="CH66" s="4">
        <v>1</v>
      </c>
      <c r="CI66" s="9">
        <f>+BQ66*(CB66*faktorji!$B$21+'MOL_tabela rezultatov'!CF56*faktorji!$B$23+'MOL_tabela rezultatov'!CH56*faktorji!$B$26)+faktorji!$B$27*CG66</f>
        <v>21498</v>
      </c>
      <c r="CJ66" s="9">
        <f>+(BZ66*CF66*faktorji!$B$18)+(CG66*faktorji!$B$17*('MOL_tabela rezultatov'!BY56+'MOL_tabela rezultatov'!BZ56))+('MOL_tabela rezultatov'!CH56*faktorji!$B$16*'MOL_tabela rezultatov'!BY56)+('MOL_tabela rezultatov'!CB56*faktorji!$B$12*'MOL_tabela rezultatov'!BY56)</f>
        <v>6614.2000000000007</v>
      </c>
      <c r="CK66" s="66">
        <f>+CI66/CJ66</f>
        <v>3.2502797012488278</v>
      </c>
      <c r="CL66" s="3" t="str">
        <f>CONCATENATE(IF(CB66&gt;0,"kotlovnica/toplotna postaja, ",""),IF(CF66&gt;0,"razsvetljava, ",""),IF(CG66&gt;0,"energetsko upravljanje, ",""),IF(CH66&gt;0,"manjši investicijski in organizacijski ukrepi, ",""))</f>
        <v xml:space="preserve">razsvetljava, energetsko upravljanje, manjši investicijski in organizacijski ukrepi, </v>
      </c>
      <c r="CM66" s="9">
        <f>+CJ66*0.9</f>
        <v>5952.7800000000007</v>
      </c>
      <c r="CN66" s="9">
        <f>+CJ66*0.9</f>
        <v>5952.7800000000007</v>
      </c>
      <c r="CO66" s="9">
        <f>+CJ66*0.9</f>
        <v>5952.7800000000007</v>
      </c>
      <c r="CP66" s="69">
        <f>+IF(CI66-SUM(CM66:CO66)&lt;0,0,CI66-SUM(CM66:CO66))</f>
        <v>3639.6599999999962</v>
      </c>
      <c r="CQ66" s="9">
        <f>+(BQ66*CE66*faktorji!$B$24)+(BQ66^0.5*CC66*4*4*0.66*faktorji!$B$22)+(BQ66^0.5*CD66*4*4*0.33*faktorji!$B$25)</f>
        <v>0</v>
      </c>
      <c r="CR66" s="3" t="str">
        <f t="shared" si="35"/>
        <v/>
      </c>
      <c r="CS66" s="9">
        <f>+BQ66*('MOL_tabela rezultatov'!CH66*faktorji!$B$26)+faktorji!$B$27*CG66</f>
        <v>18318</v>
      </c>
      <c r="CT66" s="3" t="str">
        <f t="shared" si="33"/>
        <v xml:space="preserve">energetsko upravljanje, manjši investicijski in organizacijski ukrepi, </v>
      </c>
      <c r="CU66" s="9">
        <f t="shared" si="2"/>
        <v>4579.5</v>
      </c>
      <c r="CV66" s="9">
        <f t="shared" ref="CV66:CX66" si="37">+CU66</f>
        <v>4579.5</v>
      </c>
      <c r="CW66" s="9">
        <f t="shared" si="37"/>
        <v>4579.5</v>
      </c>
      <c r="CX66" s="69">
        <f t="shared" si="37"/>
        <v>4579.5</v>
      </c>
    </row>
    <row r="67" spans="1:102" s="10" customFormat="1" ht="18" hidden="1" customHeight="1">
      <c r="A67" s="53" t="s">
        <v>22</v>
      </c>
      <c r="B67" s="126" t="s">
        <v>23</v>
      </c>
      <c r="C67" s="56"/>
      <c r="D67" s="56"/>
      <c r="E67" s="51" t="s">
        <v>1168</v>
      </c>
      <c r="F67" s="51" t="s">
        <v>1255</v>
      </c>
      <c r="G67" s="51">
        <v>2</v>
      </c>
      <c r="H67" s="51"/>
      <c r="I67" s="51"/>
      <c r="J67" s="51">
        <v>7</v>
      </c>
      <c r="K67" s="37" t="s">
        <v>1244</v>
      </c>
      <c r="L67" s="50"/>
      <c r="M67" s="4" t="s">
        <v>6</v>
      </c>
      <c r="N67" s="25"/>
      <c r="O67" s="25">
        <v>13.55</v>
      </c>
      <c r="P67" s="25"/>
      <c r="Q67" s="25"/>
      <c r="R67" s="25"/>
      <c r="S67" s="25"/>
      <c r="T67" s="25">
        <v>15.9</v>
      </c>
      <c r="U67" s="25">
        <v>29.450000000000003</v>
      </c>
      <c r="V67" s="30">
        <v>160.60606060606062</v>
      </c>
      <c r="W67" s="30">
        <v>136.86868686868686</v>
      </c>
      <c r="X67" s="31"/>
      <c r="Y67" s="31">
        <v>14.1</v>
      </c>
      <c r="Z67" s="31"/>
      <c r="AA67" s="31"/>
      <c r="AB67" s="31"/>
      <c r="AC67" s="31">
        <v>15.12</v>
      </c>
      <c r="AD67" s="31"/>
      <c r="AE67" s="32">
        <v>142.42424242424244</v>
      </c>
      <c r="AF67" s="1"/>
      <c r="AG67" s="4"/>
      <c r="AH67" s="4" t="s">
        <v>24</v>
      </c>
      <c r="AI67" s="6">
        <v>99</v>
      </c>
      <c r="AJ67" s="38">
        <v>100</v>
      </c>
      <c r="AK67" s="3" t="s">
        <v>25</v>
      </c>
      <c r="AL67" s="1" t="s">
        <v>26</v>
      </c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42"/>
      <c r="BH67" s="42">
        <v>16.8</v>
      </c>
      <c r="BI67" s="42"/>
      <c r="BJ67" s="42"/>
      <c r="BK67" s="44">
        <v>16.8</v>
      </c>
      <c r="BL67" s="44">
        <v>15.9</v>
      </c>
      <c r="BM67" s="44">
        <f>+BK67+BL67</f>
        <v>32.700000000000003</v>
      </c>
      <c r="BN67" s="47">
        <v>169.69696969696969</v>
      </c>
      <c r="BO67" s="47">
        <v>160.60606060606059</v>
      </c>
      <c r="BP67" s="45">
        <v>330.30303030303031</v>
      </c>
      <c r="BQ67" s="9">
        <v>99</v>
      </c>
      <c r="BR67" s="4"/>
      <c r="BS67" s="4"/>
      <c r="BT67" s="4"/>
      <c r="BU67" s="4"/>
      <c r="BV67" s="4"/>
      <c r="BW67" s="4"/>
      <c r="BX67" s="4"/>
      <c r="BY67" s="9">
        <f>+INT(BK67*faktorji!$B$5)</f>
        <v>1596</v>
      </c>
      <c r="BZ67" s="9">
        <f>+INT(BL67*faktorji!$B$4)</f>
        <v>2623</v>
      </c>
      <c r="CA67" s="3" t="s">
        <v>1313</v>
      </c>
      <c r="CB67" s="4">
        <v>0</v>
      </c>
      <c r="CC67" s="4">
        <v>0</v>
      </c>
      <c r="CD67" s="4">
        <v>0</v>
      </c>
      <c r="CE67" s="4">
        <v>0</v>
      </c>
      <c r="CF67" s="4">
        <v>0</v>
      </c>
      <c r="CG67" s="4">
        <v>1</v>
      </c>
      <c r="CH67" s="4">
        <v>1</v>
      </c>
      <c r="CI67" s="9">
        <f>+BQ67*(CB67*faktorji!$B$21+'MOL_tabela rezultatov'!CF6*faktorji!$B$23+'MOL_tabela rezultatov'!CH6*faktorji!$B$26)+faktorji!$B$27*CG67</f>
        <v>18148.5</v>
      </c>
      <c r="CJ67" s="9">
        <f>+(BZ67*CF67*faktorji!$B$18)+(CG67*faktorji!$B$17*('MOL_tabela rezultatov'!BY6+'MOL_tabela rezultatov'!BZ6))+('MOL_tabela rezultatov'!CH6*faktorji!$B$16*'MOL_tabela rezultatov'!BY6)+('MOL_tabela rezultatov'!CB6*faktorji!$B$12*'MOL_tabela rezultatov'!BY6)</f>
        <v>7630.1</v>
      </c>
      <c r="CK67" s="66">
        <f>+CI67/CJ67</f>
        <v>2.378540255042529</v>
      </c>
      <c r="CL67" s="3" t="str">
        <f>CONCATENATE(IF(CB67&gt;0,"kotlovnica/toplotna postaja, ",""),IF(CF67&gt;0,"razsvetljava, ",""),IF(CG67&gt;0,"energetsko upravljanje, ",""),IF(CH67&gt;0,"manjši investicijski in organizacijski ukrepi, ",""))</f>
        <v xml:space="preserve">energetsko upravljanje, manjši investicijski in organizacijski ukrepi, </v>
      </c>
      <c r="CM67" s="9">
        <f>+CJ67*0.9</f>
        <v>6867.09</v>
      </c>
      <c r="CN67" s="9">
        <f>+CJ67*0.9</f>
        <v>6867.09</v>
      </c>
      <c r="CO67" s="9">
        <f>+CJ67*0.9</f>
        <v>6867.09</v>
      </c>
      <c r="CP67" s="69">
        <f>+IF(CI67-SUM(CM67:CO67)&lt;0,0,CI67-SUM(CM67:CO67))</f>
        <v>0</v>
      </c>
      <c r="CQ67" s="9">
        <f>+(BQ67*CE67*faktorji!$B$24)+(BQ67^0.5*CC67*4*4*0.66*faktorji!$B$22)+(BQ67^0.5*CD67*4*4*0.33*faktorji!$B$25)</f>
        <v>0</v>
      </c>
      <c r="CR67" s="3" t="str">
        <f t="shared" si="35"/>
        <v/>
      </c>
      <c r="CS67" s="9">
        <f>+BQ67*('MOL_tabela rezultatov'!CH67*faktorji!$B$26)+faktorji!$B$27*CG67</f>
        <v>18148.5</v>
      </c>
      <c r="CT67" s="3" t="str">
        <f t="shared" si="33"/>
        <v xml:space="preserve">energetsko upravljanje, manjši investicijski in organizacijski ukrepi, </v>
      </c>
      <c r="CU67" s="9">
        <f t="shared" si="2"/>
        <v>4537.125</v>
      </c>
      <c r="CV67" s="9">
        <f t="shared" ref="CV67:CX67" si="38">+CU67</f>
        <v>4537.125</v>
      </c>
      <c r="CW67" s="9">
        <f t="shared" si="38"/>
        <v>4537.125</v>
      </c>
      <c r="CX67" s="69">
        <f t="shared" si="38"/>
        <v>4537.125</v>
      </c>
    </row>
    <row r="68" spans="1:102" s="10" customFormat="1" ht="18" hidden="1" customHeight="1">
      <c r="A68" s="53" t="s">
        <v>553</v>
      </c>
      <c r="B68" s="2" t="s">
        <v>554</v>
      </c>
      <c r="C68" s="57"/>
      <c r="D68" s="57"/>
      <c r="E68" s="51" t="s">
        <v>1175</v>
      </c>
      <c r="F68" s="51"/>
      <c r="G68" s="51">
        <v>2</v>
      </c>
      <c r="H68" s="51" t="s">
        <v>1251</v>
      </c>
      <c r="I68" s="51"/>
      <c r="J68" s="51">
        <v>2</v>
      </c>
      <c r="K68" s="37" t="s">
        <v>1243</v>
      </c>
      <c r="L68" s="50"/>
      <c r="M68" s="4" t="s">
        <v>7</v>
      </c>
      <c r="N68" s="25"/>
      <c r="O68" s="25"/>
      <c r="P68" s="25">
        <v>620</v>
      </c>
      <c r="Q68" s="25"/>
      <c r="R68" s="25"/>
      <c r="S68" s="25"/>
      <c r="T68" s="25">
        <v>109.617</v>
      </c>
      <c r="U68" s="25">
        <v>729.61699999999996</v>
      </c>
      <c r="V68" s="30">
        <v>20.113211009174314</v>
      </c>
      <c r="W68" s="30">
        <v>113.76146788990826</v>
      </c>
      <c r="X68" s="31"/>
      <c r="Y68" s="31"/>
      <c r="Z68" s="31"/>
      <c r="AA68" s="31"/>
      <c r="AB68" s="31"/>
      <c r="AC68" s="31"/>
      <c r="AD68" s="31"/>
      <c r="AE68" s="32"/>
      <c r="AF68" s="16" t="s">
        <v>555</v>
      </c>
      <c r="AG68" s="3">
        <v>2004</v>
      </c>
      <c r="AH68" s="4"/>
      <c r="AI68" s="6">
        <v>5450</v>
      </c>
      <c r="AJ68" s="38">
        <v>100</v>
      </c>
      <c r="AK68" s="3"/>
      <c r="AL68" s="1" t="s">
        <v>556</v>
      </c>
      <c r="AM68" s="37"/>
      <c r="AN68" s="37"/>
      <c r="AO68" s="37"/>
      <c r="AP68" s="37"/>
      <c r="AQ68" s="37"/>
      <c r="AR68" s="37"/>
      <c r="AS68" s="37"/>
      <c r="AT68" s="37"/>
      <c r="AU68" s="37">
        <v>554</v>
      </c>
      <c r="AV68" s="37">
        <v>615</v>
      </c>
      <c r="AW68" s="37">
        <v>570</v>
      </c>
      <c r="AX68" s="37">
        <v>600</v>
      </c>
      <c r="AY68" s="37"/>
      <c r="AZ68" s="37"/>
      <c r="BA68" s="37"/>
      <c r="BB68" s="37"/>
      <c r="BC68" s="37">
        <v>142.9</v>
      </c>
      <c r="BD68" s="37">
        <v>146.6</v>
      </c>
      <c r="BE68" s="37">
        <v>144.5</v>
      </c>
      <c r="BF68" s="37">
        <v>152.9</v>
      </c>
      <c r="BG68" s="42"/>
      <c r="BH68" s="42"/>
      <c r="BI68" s="42">
        <v>584.75</v>
      </c>
      <c r="BJ68" s="42"/>
      <c r="BK68" s="44">
        <v>584.75</v>
      </c>
      <c r="BL68" s="44">
        <v>146.72499999999999</v>
      </c>
      <c r="BM68" s="44">
        <f>+BK68+BL68</f>
        <v>731.47500000000002</v>
      </c>
      <c r="BN68" s="47">
        <v>141.75757575757575</v>
      </c>
      <c r="BO68" s="47">
        <v>35.56969696969697</v>
      </c>
      <c r="BP68" s="45">
        <v>177.32727272727271</v>
      </c>
      <c r="BQ68" s="9">
        <v>4125</v>
      </c>
      <c r="BR68" s="4" t="s">
        <v>1054</v>
      </c>
      <c r="BS68" s="4">
        <v>2004</v>
      </c>
      <c r="BT68" s="1" t="s">
        <v>1040</v>
      </c>
      <c r="BU68" s="4"/>
      <c r="BV68" s="4" t="s">
        <v>1055</v>
      </c>
      <c r="BW68" s="4"/>
      <c r="BX68" s="4"/>
      <c r="BY68" s="9">
        <f>+INT(BK68*faktorji!$B$6)</f>
        <v>73093</v>
      </c>
      <c r="BZ68" s="9">
        <f>+INT(BL68*faktorji!$B$4)</f>
        <v>24209</v>
      </c>
      <c r="CA68" s="3" t="s">
        <v>1304</v>
      </c>
      <c r="CB68" s="4">
        <v>0</v>
      </c>
      <c r="CC68" s="4">
        <v>1</v>
      </c>
      <c r="CD68" s="4">
        <v>0</v>
      </c>
      <c r="CE68" s="4">
        <v>1</v>
      </c>
      <c r="CF68" s="4">
        <v>1</v>
      </c>
      <c r="CG68" s="4">
        <v>1</v>
      </c>
      <c r="CH68" s="4">
        <v>1</v>
      </c>
      <c r="CI68" s="9">
        <f>+BQ68*(CB68*faktorji!$B$21+'MOL_tabela rezultatov'!CF208*faktorji!$B$23+'MOL_tabela rezultatov'!CH208*faktorji!$B$26)+faktorji!$B$27*CG68</f>
        <v>24187.5</v>
      </c>
      <c r="CJ68" s="9">
        <f>+(BZ68*CF68*faktorji!$B$18)+(CG68*faktorji!$B$17*('MOL_tabela rezultatov'!BY208+'MOL_tabela rezultatov'!BZ208))+('MOL_tabela rezultatov'!CH208*faktorji!$B$16*'MOL_tabela rezultatov'!BY208)+('MOL_tabela rezultatov'!CB208*faktorji!$B$12*'MOL_tabela rezultatov'!BY208)</f>
        <v>5081.95</v>
      </c>
      <c r="CK68" s="66">
        <f>+CI68/CJ68</f>
        <v>4.7594919273113669</v>
      </c>
      <c r="CL68" s="3" t="str">
        <f>CONCATENATE(IF(CB68&gt;0,"kotlovnica/toplotna postaja, ",""),IF(CF68&gt;0,"razsvetljava, ",""),IF(CG68&gt;0,"energetsko upravljanje, ",""),IF(CH68&gt;0,"manjši investicijski in organizacijski ukrepi, ",""))</f>
        <v xml:space="preserve">razsvetljava, energetsko upravljanje, manjši investicijski in organizacijski ukrepi, </v>
      </c>
      <c r="CM68" s="9">
        <f>+CJ68*0.9</f>
        <v>4573.7550000000001</v>
      </c>
      <c r="CN68" s="9">
        <f>+CJ68*0.9</f>
        <v>4573.7550000000001</v>
      </c>
      <c r="CO68" s="9">
        <f>+CJ68*0.9</f>
        <v>4573.7550000000001</v>
      </c>
      <c r="CP68" s="69">
        <f>+IF(CI68-SUM(CM68:CO68)&lt;0,0,CI68-SUM(CM68:CO68))</f>
        <v>10466.235000000001</v>
      </c>
      <c r="CQ68" s="9">
        <f>+(BQ68*CE68*faktorji!$B$24)+(BQ68^0.5*CC68*4*4*0.66*faktorji!$B$22)+(BQ68^0.5*CD68*4*4*0.33*faktorji!$B$25)</f>
        <v>129975.97961074632</v>
      </c>
      <c r="CR68" s="3" t="str">
        <f t="shared" si="35"/>
        <v xml:space="preserve">izolacija ovoja, izolacija podstrešja, </v>
      </c>
      <c r="CS68" s="9">
        <f>+BQ68*('MOL_tabela rezultatov'!CH68*faktorji!$B$26)+faktorji!$B$27*CG68</f>
        <v>24187.5</v>
      </c>
      <c r="CT68" s="3" t="str">
        <f t="shared" si="33"/>
        <v xml:space="preserve">energetsko upravljanje, manjši investicijski in organizacijski ukrepi, </v>
      </c>
      <c r="CU68" s="9">
        <f t="shared" si="2"/>
        <v>6046.875</v>
      </c>
      <c r="CV68" s="9">
        <f t="shared" ref="CV68:CX68" si="39">+CU68</f>
        <v>6046.875</v>
      </c>
      <c r="CW68" s="9">
        <f t="shared" si="39"/>
        <v>6046.875</v>
      </c>
      <c r="CX68" s="69">
        <f t="shared" si="39"/>
        <v>6046.875</v>
      </c>
    </row>
    <row r="69" spans="1:102" s="10" customFormat="1" ht="18" hidden="1" customHeight="1">
      <c r="A69" s="53" t="s">
        <v>453</v>
      </c>
      <c r="B69" s="2" t="s">
        <v>454</v>
      </c>
      <c r="C69" s="57"/>
      <c r="D69" s="57"/>
      <c r="E69" s="51" t="s">
        <v>1175</v>
      </c>
      <c r="F69" s="51"/>
      <c r="G69" s="51">
        <v>2</v>
      </c>
      <c r="H69" s="51" t="s">
        <v>1250</v>
      </c>
      <c r="I69" s="51"/>
      <c r="J69" s="51">
        <v>2</v>
      </c>
      <c r="K69" s="37" t="s">
        <v>1243</v>
      </c>
      <c r="L69" s="50"/>
      <c r="M69" s="4" t="s">
        <v>6</v>
      </c>
      <c r="N69" s="25"/>
      <c r="O69" s="25">
        <v>426.9</v>
      </c>
      <c r="P69" s="25"/>
      <c r="Q69" s="25"/>
      <c r="R69" s="25"/>
      <c r="S69" s="25"/>
      <c r="T69" s="25">
        <v>135.274</v>
      </c>
      <c r="U69" s="25">
        <v>562.17399999999998</v>
      </c>
      <c r="V69" s="30">
        <v>36.819270549809467</v>
      </c>
      <c r="W69" s="30">
        <v>116.19488296135003</v>
      </c>
      <c r="X69" s="31"/>
      <c r="Y69" s="31"/>
      <c r="Z69" s="31"/>
      <c r="AA69" s="31"/>
      <c r="AB69" s="31"/>
      <c r="AC69" s="31"/>
      <c r="AD69" s="31"/>
      <c r="AE69" s="32"/>
      <c r="AF69" s="16" t="s">
        <v>455</v>
      </c>
      <c r="AG69" s="3">
        <v>1986</v>
      </c>
      <c r="AH69" s="4"/>
      <c r="AI69" s="6">
        <v>3674</v>
      </c>
      <c r="AJ69" s="38">
        <v>100</v>
      </c>
      <c r="AK69" s="3"/>
      <c r="AL69" s="1" t="s">
        <v>456</v>
      </c>
      <c r="AM69" s="37"/>
      <c r="AN69" s="37"/>
      <c r="AO69" s="37"/>
      <c r="AP69" s="37"/>
      <c r="AQ69" s="37">
        <f>(45016*9.5)/1000</f>
        <v>427.65199999999999</v>
      </c>
      <c r="AR69" s="37">
        <f>(54387*9.5)/1000</f>
        <v>516.67650000000003</v>
      </c>
      <c r="AS69" s="37">
        <f>(42501*9.5)/1000</f>
        <v>403.7595</v>
      </c>
      <c r="AT69" s="37">
        <f>(44301*9.5)/1000</f>
        <v>420.85950000000003</v>
      </c>
      <c r="AU69" s="37"/>
      <c r="AV69" s="37"/>
      <c r="AW69" s="37"/>
      <c r="AX69" s="37"/>
      <c r="AY69" s="37"/>
      <c r="AZ69" s="37"/>
      <c r="BA69" s="37"/>
      <c r="BB69" s="37"/>
      <c r="BC69" s="37">
        <v>140.13</v>
      </c>
      <c r="BD69" s="37">
        <v>143.56</v>
      </c>
      <c r="BE69" s="37">
        <v>135.69999999999999</v>
      </c>
      <c r="BF69" s="37">
        <v>140.1</v>
      </c>
      <c r="BG69" s="42"/>
      <c r="BH69" s="42">
        <v>442.23687500000005</v>
      </c>
      <c r="BI69" s="42"/>
      <c r="BJ69" s="42"/>
      <c r="BK69" s="44">
        <v>442.23687500000005</v>
      </c>
      <c r="BL69" s="44">
        <v>139.8725</v>
      </c>
      <c r="BM69" s="44">
        <f>+BK69+BL69</f>
        <v>582.109375</v>
      </c>
      <c r="BN69" s="47">
        <v>120.3693181818182</v>
      </c>
      <c r="BO69" s="47">
        <v>38.070903647250951</v>
      </c>
      <c r="BP69" s="45">
        <v>158.44022182906915</v>
      </c>
      <c r="BQ69" s="6">
        <v>3674</v>
      </c>
      <c r="BR69" s="4" t="s">
        <v>455</v>
      </c>
      <c r="BS69" s="4">
        <v>1986</v>
      </c>
      <c r="BT69" s="1" t="s">
        <v>1014</v>
      </c>
      <c r="BU69" s="4" t="s">
        <v>1015</v>
      </c>
      <c r="BV69" s="4" t="s">
        <v>898</v>
      </c>
      <c r="BW69" s="4"/>
      <c r="BX69" s="4"/>
      <c r="BY69" s="9">
        <f>+INT(BK69*faktorji!$B$5)</f>
        <v>42012</v>
      </c>
      <c r="BZ69" s="9">
        <f>+INT(BL69*faktorji!$B$4)</f>
        <v>23078</v>
      </c>
      <c r="CA69" s="3" t="s">
        <v>1300</v>
      </c>
      <c r="CB69" s="4">
        <v>1</v>
      </c>
      <c r="CC69" s="4">
        <v>1</v>
      </c>
      <c r="CD69" s="4">
        <v>0</v>
      </c>
      <c r="CE69" s="4">
        <v>0</v>
      </c>
      <c r="CF69" s="4">
        <v>1</v>
      </c>
      <c r="CG69" s="4">
        <v>1</v>
      </c>
      <c r="CH69" s="4">
        <v>1</v>
      </c>
      <c r="CI69" s="9">
        <f>+BQ69*(CB69*faktorji!$B$21+'MOL_tabela rezultatov'!CF177*faktorji!$B$23+'MOL_tabela rezultatov'!CH177*faktorji!$B$26)+faktorji!$B$27*CG69</f>
        <v>133731</v>
      </c>
      <c r="CJ69" s="9">
        <f>+(BZ69*CF69*faktorji!$B$18)+(CG69*faktorji!$B$17*('MOL_tabela rezultatov'!BY177+'MOL_tabela rezultatov'!BZ177))+('MOL_tabela rezultatov'!CH177*faktorji!$B$16*'MOL_tabela rezultatov'!BY177)+('MOL_tabela rezultatov'!CB177*faktorji!$B$12*'MOL_tabela rezultatov'!BY177)</f>
        <v>3706.1</v>
      </c>
      <c r="CK69" s="66">
        <f>+CI69/CJ69</f>
        <v>36.084023636707052</v>
      </c>
      <c r="CL69" s="3" t="str">
        <f>CONCATENATE(IF(CB69&gt;0,"kotlovnica/toplotna postaja, ",""),IF(CF69&gt;0,"razsvetljava, ",""),IF(CG69&gt;0,"energetsko upravljanje, ",""),IF(CH69&gt;0,"manjši investicijski in organizacijski ukrepi, ",""))</f>
        <v xml:space="preserve">kotlovnica/toplotna postaja, razsvetljava, energetsko upravljanje, manjši investicijski in organizacijski ukrepi, </v>
      </c>
      <c r="CM69" s="9">
        <f>+CJ69*0.9</f>
        <v>3335.49</v>
      </c>
      <c r="CN69" s="9">
        <f>+CJ69*0.9</f>
        <v>3335.49</v>
      </c>
      <c r="CO69" s="9">
        <f>+CJ69*0.9</f>
        <v>3335.49</v>
      </c>
      <c r="CP69" s="69">
        <f>+IF(CI69-SUM(CM69:CO69)&lt;0,0,CI69-SUM(CM69:CO69))</f>
        <v>123724.53</v>
      </c>
      <c r="CQ69" s="9">
        <f>+(BQ69*CE69*faktorji!$B$24)+(BQ69^0.5*CC69*4*4*0.66*faktorji!$B$22)+(BQ69^0.5*CD69*4*4*0.33*faktorji!$B$25)</f>
        <v>44805.521259773333</v>
      </c>
      <c r="CR69" s="3" t="str">
        <f t="shared" si="35"/>
        <v xml:space="preserve">izolacija ovoja, </v>
      </c>
      <c r="CS69" s="9">
        <f>+BQ69*('MOL_tabela rezultatov'!CH69*faktorji!$B$26)+faktorji!$B$27*CG69</f>
        <v>23511</v>
      </c>
      <c r="CT69" s="3" t="str">
        <f t="shared" si="33"/>
        <v xml:space="preserve">energetsko upravljanje, manjši investicijski in organizacijski ukrepi, </v>
      </c>
      <c r="CU69" s="9">
        <f t="shared" si="2"/>
        <v>5877.75</v>
      </c>
      <c r="CV69" s="9">
        <f t="shared" ref="CV69:CX69" si="40">+CU69</f>
        <v>5877.75</v>
      </c>
      <c r="CW69" s="9">
        <f t="shared" si="40"/>
        <v>5877.75</v>
      </c>
      <c r="CX69" s="69">
        <f t="shared" si="40"/>
        <v>5877.75</v>
      </c>
    </row>
    <row r="70" spans="1:102" s="10" customFormat="1" ht="18" hidden="1" customHeight="1">
      <c r="A70" s="54" t="s">
        <v>765</v>
      </c>
      <c r="B70" s="3" t="s">
        <v>766</v>
      </c>
      <c r="C70" s="56"/>
      <c r="D70" s="56"/>
      <c r="E70" s="51" t="s">
        <v>1176</v>
      </c>
      <c r="F70" s="51"/>
      <c r="G70" s="51" t="s">
        <v>1366</v>
      </c>
      <c r="H70" s="51" t="s">
        <v>1255</v>
      </c>
      <c r="I70" s="78" t="s">
        <v>1334</v>
      </c>
      <c r="J70" s="51">
        <v>1</v>
      </c>
      <c r="K70" s="37" t="s">
        <v>1243</v>
      </c>
      <c r="L70" s="50">
        <v>2014</v>
      </c>
      <c r="M70" s="110" t="s">
        <v>6</v>
      </c>
      <c r="N70" s="25"/>
      <c r="O70" s="25">
        <v>158.24</v>
      </c>
      <c r="P70" s="25"/>
      <c r="Q70" s="25"/>
      <c r="R70" s="25"/>
      <c r="S70" s="25"/>
      <c r="T70" s="25">
        <v>23.419480965635248</v>
      </c>
      <c r="U70" s="25">
        <v>181.65948096563525</v>
      </c>
      <c r="V70" s="30">
        <v>31.819946964178328</v>
      </c>
      <c r="W70" s="30">
        <v>215</v>
      </c>
      <c r="X70" s="31"/>
      <c r="Y70" s="31"/>
      <c r="Z70" s="31"/>
      <c r="AA70" s="31"/>
      <c r="AB70" s="31"/>
      <c r="AC70" s="31"/>
      <c r="AD70" s="31"/>
      <c r="AE70" s="32"/>
      <c r="AF70" s="16"/>
      <c r="AG70" s="3"/>
      <c r="AH70" s="4"/>
      <c r="AI70" s="6">
        <v>736</v>
      </c>
      <c r="AJ70" s="38">
        <v>100</v>
      </c>
      <c r="AK70" s="3"/>
      <c r="AL70" s="1"/>
      <c r="AM70" s="37"/>
      <c r="AN70" s="37"/>
      <c r="AO70" s="37"/>
      <c r="AP70" s="37"/>
      <c r="AQ70" s="37">
        <f>(16998*9.5)/1000</f>
        <v>161.48099999999999</v>
      </c>
      <c r="AR70" s="37">
        <f>(19662*9.5)/1000</f>
        <v>186.78899999999999</v>
      </c>
      <c r="AS70" s="37">
        <f>(18558*9.5)/1000</f>
        <v>176.30099999999999</v>
      </c>
      <c r="AT70" s="37">
        <f>(16669*9.5)/1000</f>
        <v>158.35550000000001</v>
      </c>
      <c r="AU70" s="37"/>
      <c r="AV70" s="37"/>
      <c r="AW70" s="37"/>
      <c r="AX70" s="37"/>
      <c r="AY70" s="37"/>
      <c r="AZ70" s="37"/>
      <c r="BA70" s="37"/>
      <c r="BB70" s="37"/>
      <c r="BC70" s="37">
        <v>49</v>
      </c>
      <c r="BD70" s="37">
        <v>49.5</v>
      </c>
      <c r="BE70" s="37">
        <v>48.2</v>
      </c>
      <c r="BF70" s="37">
        <v>46.1</v>
      </c>
      <c r="BG70" s="42"/>
      <c r="BH70" s="42">
        <v>170.73162499999998</v>
      </c>
      <c r="BI70" s="42"/>
      <c r="BJ70" s="42"/>
      <c r="BK70" s="107">
        <v>174.9</v>
      </c>
      <c r="BL70" s="107">
        <v>48.199999999999996</v>
      </c>
      <c r="BM70" s="107">
        <f>+BK70+BL70</f>
        <v>223.1</v>
      </c>
      <c r="BN70" s="108">
        <f>+BK70*1000/BQ70</f>
        <v>236.03238866396762</v>
      </c>
      <c r="BO70" s="108">
        <f>+BL70*1000/BQ70</f>
        <v>65.047233468286095</v>
      </c>
      <c r="BP70" s="109">
        <f>+BO70+BN70</f>
        <v>301.07962213225369</v>
      </c>
      <c r="BQ70" s="106">
        <v>741</v>
      </c>
      <c r="BR70" s="110">
        <v>230</v>
      </c>
      <c r="BS70" s="110">
        <v>1984</v>
      </c>
      <c r="BT70" s="112" t="s">
        <v>872</v>
      </c>
      <c r="BU70" s="4"/>
      <c r="BV70" s="4" t="s">
        <v>921</v>
      </c>
      <c r="BW70" s="4" t="s">
        <v>874</v>
      </c>
      <c r="BX70" s="4"/>
      <c r="BY70" s="106">
        <v>10560</v>
      </c>
      <c r="BZ70" s="106">
        <v>7050</v>
      </c>
      <c r="CA70" s="114" t="s">
        <v>1423</v>
      </c>
      <c r="CB70" s="4">
        <v>0</v>
      </c>
      <c r="CC70" s="4">
        <v>0</v>
      </c>
      <c r="CD70" s="4">
        <v>0</v>
      </c>
      <c r="CE70" s="4">
        <v>0</v>
      </c>
      <c r="CF70" s="4">
        <v>0</v>
      </c>
      <c r="CG70" s="4">
        <v>0</v>
      </c>
      <c r="CH70" s="4">
        <v>0</v>
      </c>
      <c r="CI70" s="9">
        <v>50000</v>
      </c>
      <c r="CJ70" s="9"/>
      <c r="CK70" s="9"/>
      <c r="CL70" s="3" t="str">
        <f>CONCATENATE(IF(CB70&gt;0,"kotlovnica/toplotna postaja, ",""),IF(CF70&gt;0,"razsvetljava, ",""),IF(CG70&gt;0,"energetsko upravljanje, ",""),IF(CH70&gt;0,"manjši investicijski in organizacijski ukrepi, ",""))</f>
        <v/>
      </c>
      <c r="CM70" s="9">
        <f>+CJ70*0.9</f>
        <v>0</v>
      </c>
      <c r="CN70" s="9">
        <f>+CJ70*0.9</f>
        <v>0</v>
      </c>
      <c r="CO70" s="9">
        <f>+CJ70*0.9</f>
        <v>0</v>
      </c>
      <c r="CP70" s="69">
        <f>+IF(CI70-SUM(CM70:CO70)&lt;0,0,CI70-SUM(CM70:CO70))</f>
        <v>50000</v>
      </c>
      <c r="CQ70" s="9">
        <f>+(BQ70*CE70*faktorji!$B$24)+(BQ70^0.5*CC70*4*4*0.66*faktorji!$B$22)+(BQ70^0.5*CD70*4*4*0.33*faktorji!$B$25)</f>
        <v>0</v>
      </c>
      <c r="CR70" s="3" t="str">
        <f t="shared" si="35"/>
        <v/>
      </c>
      <c r="CS70" s="9">
        <f>+BQ70*('MOL_tabela rezultatov'!CH70*faktorji!$B$26)+faktorji!$B$27*CG70</f>
        <v>0</v>
      </c>
      <c r="CT70" s="3" t="str">
        <f t="shared" si="33"/>
        <v/>
      </c>
      <c r="CU70" s="9">
        <f t="shared" si="2"/>
        <v>0</v>
      </c>
      <c r="CV70" s="9">
        <f t="shared" ref="CV70:CX70" si="41">+CU70</f>
        <v>0</v>
      </c>
      <c r="CW70" s="9">
        <f t="shared" si="41"/>
        <v>0</v>
      </c>
      <c r="CX70" s="69">
        <f t="shared" si="41"/>
        <v>0</v>
      </c>
    </row>
    <row r="71" spans="1:102" s="10" customFormat="1" ht="18" hidden="1" customHeight="1">
      <c r="A71" s="54" t="s">
        <v>261</v>
      </c>
      <c r="B71" s="3" t="s">
        <v>262</v>
      </c>
      <c r="C71" s="56"/>
      <c r="D71" s="56"/>
      <c r="E71" s="51" t="s">
        <v>1173</v>
      </c>
      <c r="F71" s="51"/>
      <c r="G71" s="51">
        <v>2</v>
      </c>
      <c r="H71" s="51"/>
      <c r="I71" s="51"/>
      <c r="J71" s="51">
        <v>3</v>
      </c>
      <c r="K71" s="37" t="s">
        <v>1243</v>
      </c>
      <c r="L71" s="50"/>
      <c r="M71" s="4" t="s">
        <v>6</v>
      </c>
      <c r="N71" s="25"/>
      <c r="O71" s="25">
        <v>195.67150000000001</v>
      </c>
      <c r="P71" s="25"/>
      <c r="Q71" s="25"/>
      <c r="R71" s="25"/>
      <c r="S71" s="25"/>
      <c r="T71" s="25">
        <v>16.55</v>
      </c>
      <c r="U71" s="25">
        <v>212.22150000000002</v>
      </c>
      <c r="V71" s="30">
        <v>47.285714285714285</v>
      </c>
      <c r="W71" s="30">
        <v>559.06142857142856</v>
      </c>
      <c r="X71" s="31"/>
      <c r="Y71" s="31"/>
      <c r="Z71" s="31"/>
      <c r="AA71" s="31"/>
      <c r="AB71" s="31"/>
      <c r="AC71" s="31">
        <v>14.042</v>
      </c>
      <c r="AD71" s="31"/>
      <c r="AE71" s="32"/>
      <c r="AF71" s="1"/>
      <c r="AG71" s="4"/>
      <c r="AH71" s="4"/>
      <c r="AI71" s="6">
        <v>350</v>
      </c>
      <c r="AJ71" s="38"/>
      <c r="AK71" s="3"/>
      <c r="AL71" s="1"/>
      <c r="AM71" s="37"/>
      <c r="AN71" s="37"/>
      <c r="AO71" s="37"/>
      <c r="AP71" s="37"/>
      <c r="AQ71" s="37">
        <f>(7518*9.5)/1000</f>
        <v>71.421000000000006</v>
      </c>
      <c r="AR71" s="37">
        <f>(7408*9.5)/1000</f>
        <v>70.376000000000005</v>
      </c>
      <c r="AS71" s="37">
        <f>(7079*9.5)/1000</f>
        <v>67.250500000000002</v>
      </c>
      <c r="AT71" s="37">
        <f>(6639*9.5)/1000</f>
        <v>63.070500000000003</v>
      </c>
      <c r="AU71" s="37"/>
      <c r="AV71" s="37"/>
      <c r="AW71" s="37"/>
      <c r="AX71" s="37"/>
      <c r="AY71" s="37"/>
      <c r="AZ71" s="37"/>
      <c r="BA71" s="37"/>
      <c r="BB71" s="37"/>
      <c r="BC71" s="37">
        <v>14.3</v>
      </c>
      <c r="BD71" s="37">
        <v>12.11</v>
      </c>
      <c r="BE71" s="37">
        <v>11.7</v>
      </c>
      <c r="BF71" s="37">
        <v>11.1</v>
      </c>
      <c r="BG71" s="42"/>
      <c r="BH71" s="42">
        <v>68.029499999999999</v>
      </c>
      <c r="BI71" s="42"/>
      <c r="BJ71" s="42"/>
      <c r="BK71" s="44">
        <v>68.029499999999999</v>
      </c>
      <c r="BL71" s="44">
        <v>12.3025</v>
      </c>
      <c r="BM71" s="44">
        <f>+BK71+BL71</f>
        <v>80.331999999999994</v>
      </c>
      <c r="BN71" s="47">
        <v>152.19127516778522</v>
      </c>
      <c r="BO71" s="47">
        <v>27.522371364653242</v>
      </c>
      <c r="BP71" s="45">
        <v>179.71364653243847</v>
      </c>
      <c r="BQ71" s="9">
        <v>447</v>
      </c>
      <c r="BR71" s="4" t="s">
        <v>1152</v>
      </c>
      <c r="BS71" s="4"/>
      <c r="BT71" s="4" t="s">
        <v>1153</v>
      </c>
      <c r="BU71" s="4"/>
      <c r="BV71" s="4"/>
      <c r="BW71" s="4" t="s">
        <v>1154</v>
      </c>
      <c r="BX71" s="4"/>
      <c r="BY71" s="9">
        <f>+INT(BK71*faktorji!$B$5)</f>
        <v>6462</v>
      </c>
      <c r="BZ71" s="9">
        <f>+INT(BL71*faktorji!$B$4)</f>
        <v>2029</v>
      </c>
      <c r="CA71" s="72" t="s">
        <v>1315</v>
      </c>
      <c r="CB71" s="4">
        <v>0</v>
      </c>
      <c r="CC71" s="4">
        <v>0</v>
      </c>
      <c r="CD71" s="4">
        <v>0</v>
      </c>
      <c r="CE71" s="4">
        <v>0</v>
      </c>
      <c r="CF71" s="4">
        <v>1</v>
      </c>
      <c r="CG71" s="4">
        <v>1</v>
      </c>
      <c r="CH71" s="4">
        <v>1</v>
      </c>
      <c r="CI71" s="9">
        <f>+BQ71*(CB71*faktorji!$B$21+'MOL_tabela rezultatov'!CF98*faktorji!$B$23+'MOL_tabela rezultatov'!CH98*faktorji!$B$26)+faktorji!$B$27*CG71</f>
        <v>18000</v>
      </c>
      <c r="CJ71" s="9">
        <f>+(BZ71*CF71*faktorji!$B$18)+(CG71*faktorji!$B$17*('MOL_tabela rezultatov'!BY98+'MOL_tabela rezultatov'!BZ98))+('MOL_tabela rezultatov'!CH98*faktorji!$B$16*'MOL_tabela rezultatov'!BY98)+('MOL_tabela rezultatov'!CB98*faktorji!$B$12*'MOL_tabela rezultatov'!BY98)</f>
        <v>1717.85</v>
      </c>
      <c r="CK71" s="66">
        <f>+CI71/CJ71</f>
        <v>10.478214046628054</v>
      </c>
      <c r="CL71" s="3" t="str">
        <f>CONCATENATE(IF(CB71&gt;0,"kotlovnica/toplotna postaja, ",""),IF(CF71&gt;0,"razsvetljava, ",""),IF(CG71&gt;0,"energetsko upravljanje, ",""),IF(CH71&gt;0,"manjši investicijski in organizacijski ukrepi, ",""))</f>
        <v xml:space="preserve">razsvetljava, energetsko upravljanje, manjši investicijski in organizacijski ukrepi, </v>
      </c>
      <c r="CM71" s="9">
        <f>+CJ71*0.9</f>
        <v>1546.0650000000001</v>
      </c>
      <c r="CN71" s="9">
        <f>+CJ71*0.9</f>
        <v>1546.0650000000001</v>
      </c>
      <c r="CO71" s="9">
        <f>+CJ71*0.9</f>
        <v>1546.0650000000001</v>
      </c>
      <c r="CP71" s="69">
        <f>+IF(CI71-SUM(CM71:CO71)&lt;0,0,CI71-SUM(CM71:CO71))</f>
        <v>13361.805</v>
      </c>
      <c r="CQ71" s="9">
        <f>+(BQ71*CE71*faktorji!$B$24)+(BQ71^0.5*CC71*4*4*0.66*faktorji!$B$22)+(BQ71^0.5*CD71*4*4*0.33*faktorji!$B$25)</f>
        <v>0</v>
      </c>
      <c r="CR71" s="3" t="str">
        <f t="shared" si="35"/>
        <v/>
      </c>
      <c r="CS71" s="9">
        <f>+BQ71*('MOL_tabela rezultatov'!CH71*faktorji!$B$26)+faktorji!$B$27*CG71</f>
        <v>18670.5</v>
      </c>
      <c r="CT71" s="3" t="str">
        <f t="shared" si="33"/>
        <v xml:space="preserve">energetsko upravljanje, manjši investicijski in organizacijski ukrepi, </v>
      </c>
      <c r="CU71" s="9">
        <f t="shared" si="2"/>
        <v>4667.625</v>
      </c>
      <c r="CV71" s="9">
        <f t="shared" ref="CV71:CX71" si="42">+CU71</f>
        <v>4667.625</v>
      </c>
      <c r="CW71" s="9">
        <f t="shared" si="42"/>
        <v>4667.625</v>
      </c>
      <c r="CX71" s="69">
        <f t="shared" si="42"/>
        <v>4667.625</v>
      </c>
    </row>
    <row r="72" spans="1:102" s="10" customFormat="1" ht="18" customHeight="1">
      <c r="A72" s="117" t="s">
        <v>487</v>
      </c>
      <c r="B72" s="146" t="s">
        <v>488</v>
      </c>
      <c r="C72" s="57"/>
      <c r="D72" s="57"/>
      <c r="E72" s="51" t="s">
        <v>1175</v>
      </c>
      <c r="F72" s="51"/>
      <c r="G72" s="51">
        <v>2</v>
      </c>
      <c r="H72" s="51" t="s">
        <v>1250</v>
      </c>
      <c r="I72" s="51"/>
      <c r="J72" s="51">
        <v>2</v>
      </c>
      <c r="K72" s="37" t="s">
        <v>1242</v>
      </c>
      <c r="L72" s="50"/>
      <c r="M72" s="4" t="s">
        <v>7</v>
      </c>
      <c r="N72" s="25"/>
      <c r="O72" s="25"/>
      <c r="P72" s="28">
        <v>530</v>
      </c>
      <c r="Q72" s="25"/>
      <c r="R72" s="25"/>
      <c r="S72" s="25"/>
      <c r="T72" s="25">
        <v>24.835000000000001</v>
      </c>
      <c r="U72" s="25">
        <v>554.83500000000004</v>
      </c>
      <c r="V72" s="30">
        <v>8.9078192252510764</v>
      </c>
      <c r="W72" s="30">
        <v>190.10043041606886</v>
      </c>
      <c r="X72" s="31"/>
      <c r="Y72" s="31"/>
      <c r="Z72" s="31"/>
      <c r="AA72" s="31"/>
      <c r="AB72" s="31"/>
      <c r="AC72" s="31"/>
      <c r="AD72" s="31"/>
      <c r="AE72" s="32"/>
      <c r="AF72" s="16" t="s">
        <v>489</v>
      </c>
      <c r="AG72" s="3">
        <v>2005</v>
      </c>
      <c r="AH72" s="4"/>
      <c r="AI72" s="6">
        <v>2788</v>
      </c>
      <c r="AJ72" s="38">
        <v>100</v>
      </c>
      <c r="AK72" s="3"/>
      <c r="AL72" s="1" t="s">
        <v>490</v>
      </c>
      <c r="AM72" s="37"/>
      <c r="AN72" s="37"/>
      <c r="AO72" s="37"/>
      <c r="AP72" s="37"/>
      <c r="AQ72" s="37"/>
      <c r="AR72" s="37"/>
      <c r="AS72" s="37"/>
      <c r="AT72" s="37"/>
      <c r="AU72" s="39">
        <v>590</v>
      </c>
      <c r="AV72" s="39">
        <v>750</v>
      </c>
      <c r="AW72" s="39">
        <v>651.20000000000005</v>
      </c>
      <c r="AX72" s="39">
        <v>605</v>
      </c>
      <c r="AY72" s="37"/>
      <c r="AZ72" s="37"/>
      <c r="BA72" s="37"/>
      <c r="BB72" s="37"/>
      <c r="BC72" s="37"/>
      <c r="BD72" s="37"/>
      <c r="BE72" s="37"/>
      <c r="BF72" s="37"/>
      <c r="BG72" s="42"/>
      <c r="BH72" s="42"/>
      <c r="BI72" s="42">
        <v>649.04999999999995</v>
      </c>
      <c r="BJ72" s="42"/>
      <c r="BK72" s="44">
        <v>649.04999999999995</v>
      </c>
      <c r="BL72" s="44">
        <v>24.84</v>
      </c>
      <c r="BM72" s="44">
        <f>+BK72+BL72</f>
        <v>673.89</v>
      </c>
      <c r="BN72" s="47">
        <v>232.80129124820661</v>
      </c>
      <c r="BO72" s="47">
        <v>8.9096126255380206</v>
      </c>
      <c r="BP72" s="45">
        <v>241.71090387374463</v>
      </c>
      <c r="BQ72" s="9">
        <v>2788</v>
      </c>
      <c r="BR72" s="4"/>
      <c r="BS72" s="4"/>
      <c r="BT72" s="4"/>
      <c r="BU72" s="4"/>
      <c r="BV72" s="4"/>
      <c r="BW72" s="4"/>
      <c r="BX72" s="4"/>
      <c r="BY72" s="9">
        <f>+INT(BK72*faktorji!$B$6)</f>
        <v>81131</v>
      </c>
      <c r="BZ72" s="9">
        <f>+INT(BL72*faktorji!$B$4)</f>
        <v>4098</v>
      </c>
      <c r="CA72" s="3" t="s">
        <v>1300</v>
      </c>
      <c r="CB72" s="4">
        <v>1</v>
      </c>
      <c r="CC72" s="4">
        <v>0</v>
      </c>
      <c r="CD72" s="4">
        <v>0</v>
      </c>
      <c r="CE72" s="4">
        <v>0</v>
      </c>
      <c r="CF72" s="4">
        <v>0</v>
      </c>
      <c r="CG72" s="4">
        <v>1</v>
      </c>
      <c r="CH72" s="4">
        <v>1</v>
      </c>
      <c r="CI72" s="9">
        <f>+BQ72*(CB72*faktorji!$B$21+'MOL_tabela rezultatov'!CF187*faktorji!$B$23+'MOL_tabela rezultatov'!CH187*faktorji!$B$26)+faktorji!$B$27*CG72</f>
        <v>84912</v>
      </c>
      <c r="CJ72" s="9">
        <f>+(BZ72*CF72*faktorji!$B$18)+(CG72*faktorji!$B$17*('MOL_tabela rezultatov'!BY187+'MOL_tabela rezultatov'!BZ187))+('MOL_tabela rezultatov'!CH187*faktorji!$B$16*'MOL_tabela rezultatov'!BY187)+('MOL_tabela rezultatov'!CB187*faktorji!$B$12*'MOL_tabela rezultatov'!BY187)</f>
        <v>601.90000000000009</v>
      </c>
      <c r="CK72" s="66">
        <f>+CI72/CJ72</f>
        <v>141.07326798471505</v>
      </c>
      <c r="CL72" s="3" t="str">
        <f>CONCATENATE(IF(CB72&gt;0,"kotlovnica/toplotna postaja, ",""),IF(CF72&gt;0,"razsvetljava, ",""),IF(CG72&gt;0,"energetsko upravljanje, ",""),IF(CH72&gt;0,"manjši investicijski in organizacijski ukrepi, ",""))</f>
        <v xml:space="preserve">kotlovnica/toplotna postaja, energetsko upravljanje, manjši investicijski in organizacijski ukrepi, </v>
      </c>
      <c r="CM72" s="9">
        <f>+CJ72*0.9</f>
        <v>541.71000000000015</v>
      </c>
      <c r="CN72" s="9">
        <f>+CJ72*0.9</f>
        <v>541.71000000000015</v>
      </c>
      <c r="CO72" s="9">
        <f>+CJ72*0.9</f>
        <v>541.71000000000015</v>
      </c>
      <c r="CP72" s="69">
        <f>+IF(CI72-SUM(CM72:CO72)&lt;0,0,CI72-SUM(CM72:CO72))</f>
        <v>83286.87</v>
      </c>
      <c r="CQ72" s="9">
        <f>+(BQ72*CE72*faktorji!$B$24)+(BQ72^0.5*CC72*4*4*0.66*faktorji!$B$22)+(BQ72^0.5*CD72*4*4*0.33*faktorji!$B$25)</f>
        <v>0</v>
      </c>
      <c r="CR72" s="3" t="str">
        <f t="shared" si="35"/>
        <v/>
      </c>
      <c r="CS72" s="9">
        <f>+BQ72*('MOL_tabela rezultatov'!CH72*faktorji!$B$26)+faktorji!$B$27*CG72</f>
        <v>22182</v>
      </c>
      <c r="CT72" s="3" t="str">
        <f t="shared" si="33"/>
        <v xml:space="preserve">energetsko upravljanje, manjši investicijski in organizacijski ukrepi, </v>
      </c>
      <c r="CU72" s="9">
        <f t="shared" si="2"/>
        <v>5545.5</v>
      </c>
      <c r="CV72" s="9">
        <f t="shared" ref="CV72:CX72" si="43">+CU72</f>
        <v>5545.5</v>
      </c>
      <c r="CW72" s="9">
        <f t="shared" si="43"/>
        <v>5545.5</v>
      </c>
      <c r="CX72" s="69">
        <f t="shared" si="43"/>
        <v>5545.5</v>
      </c>
    </row>
    <row r="73" spans="1:102" s="10" customFormat="1" ht="18" hidden="1" customHeight="1">
      <c r="A73" s="53" t="s">
        <v>628</v>
      </c>
      <c r="B73" s="2" t="s">
        <v>629</v>
      </c>
      <c r="C73" s="57"/>
      <c r="D73" s="57"/>
      <c r="E73" s="51" t="s">
        <v>1176</v>
      </c>
      <c r="F73" s="51"/>
      <c r="G73" s="51" t="s">
        <v>1366</v>
      </c>
      <c r="H73" s="51" t="s">
        <v>1255</v>
      </c>
      <c r="I73" s="80" t="s">
        <v>1334</v>
      </c>
      <c r="J73" s="51">
        <v>1</v>
      </c>
      <c r="K73" s="37" t="s">
        <v>1243</v>
      </c>
      <c r="L73" s="50">
        <v>2013</v>
      </c>
      <c r="M73" s="110" t="s">
        <v>5</v>
      </c>
      <c r="N73" s="25">
        <v>318.2</v>
      </c>
      <c r="O73" s="25"/>
      <c r="P73" s="25"/>
      <c r="Q73" s="25"/>
      <c r="R73" s="25"/>
      <c r="S73" s="25"/>
      <c r="T73" s="25">
        <v>47.093521506983926</v>
      </c>
      <c r="U73" s="25">
        <v>365.29352150698389</v>
      </c>
      <c r="V73" s="30">
        <v>31.819946964178328</v>
      </c>
      <c r="W73" s="30">
        <v>215</v>
      </c>
      <c r="X73" s="31"/>
      <c r="Y73" s="31"/>
      <c r="Z73" s="31"/>
      <c r="AA73" s="31"/>
      <c r="AB73" s="31"/>
      <c r="AC73" s="31"/>
      <c r="AD73" s="31"/>
      <c r="AE73" s="32"/>
      <c r="AF73" s="16"/>
      <c r="AG73" s="3">
        <v>1979</v>
      </c>
      <c r="AH73" s="4"/>
      <c r="AI73" s="6">
        <v>1480</v>
      </c>
      <c r="AJ73" s="38">
        <v>100</v>
      </c>
      <c r="AK73" s="3"/>
      <c r="AL73" s="1" t="s">
        <v>421</v>
      </c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>
        <v>74.989999999999995</v>
      </c>
      <c r="BD73" s="37">
        <v>73.63</v>
      </c>
      <c r="BE73" s="37">
        <v>67.72</v>
      </c>
      <c r="BF73" s="37">
        <v>65.3</v>
      </c>
      <c r="BG73" s="42">
        <v>309.5</v>
      </c>
      <c r="BH73" s="42"/>
      <c r="BI73" s="42"/>
      <c r="BJ73" s="42"/>
      <c r="BK73" s="107">
        <v>228.6</v>
      </c>
      <c r="BL73" s="107">
        <v>67.7</v>
      </c>
      <c r="BM73" s="107">
        <f>+BK73+BL73</f>
        <v>296.3</v>
      </c>
      <c r="BN73" s="108">
        <f>+BK73*1000/BQ73</f>
        <v>169.83655274888559</v>
      </c>
      <c r="BO73" s="108">
        <f>+BL73*1000/BQ73</f>
        <v>50.297176820208023</v>
      </c>
      <c r="BP73" s="109">
        <f>+BO73+BN73</f>
        <v>220.13372956909362</v>
      </c>
      <c r="BQ73" s="106">
        <v>1346</v>
      </c>
      <c r="BR73" s="110">
        <v>180</v>
      </c>
      <c r="BS73" s="4"/>
      <c r="BT73" s="110" t="s">
        <v>431</v>
      </c>
      <c r="BU73" s="4"/>
      <c r="BV73" s="4"/>
      <c r="BW73" s="4"/>
      <c r="BX73" s="4"/>
      <c r="BY73" s="106">
        <v>9700</v>
      </c>
      <c r="BZ73" s="106">
        <v>10300</v>
      </c>
      <c r="CA73" s="114" t="s">
        <v>1332</v>
      </c>
      <c r="CB73" s="4">
        <v>0</v>
      </c>
      <c r="CC73" s="4">
        <v>0</v>
      </c>
      <c r="CD73" s="4">
        <v>0</v>
      </c>
      <c r="CE73" s="4">
        <v>0</v>
      </c>
      <c r="CF73" s="4">
        <v>0</v>
      </c>
      <c r="CG73" s="4">
        <v>0</v>
      </c>
      <c r="CH73" s="4">
        <v>0</v>
      </c>
      <c r="CI73" s="106">
        <v>90000</v>
      </c>
      <c r="CJ73" s="9"/>
      <c r="CK73" s="9"/>
      <c r="CL73" s="3" t="str">
        <f>CONCATENATE(IF(CB73&gt;0,"kotlovnica/toplotna postaja, ",""),IF(CF73&gt;0,"razsvetljava, ",""),IF(CG73&gt;0,"energetsko upravljanje, ",""),IF(CH73&gt;0,"manjši investicijski in organizacijski ukrepi, ",""))</f>
        <v/>
      </c>
      <c r="CM73" s="9">
        <f>+CJ73*0.9</f>
        <v>0</v>
      </c>
      <c r="CN73" s="9">
        <f>+CJ73*0.9</f>
        <v>0</v>
      </c>
      <c r="CO73" s="9">
        <f>+CJ73*0.9</f>
        <v>0</v>
      </c>
      <c r="CP73" s="69">
        <f>+IF(CI73-SUM(CM73:CO73)&lt;0,0,CI73-SUM(CM73:CO73))</f>
        <v>90000</v>
      </c>
      <c r="CQ73" s="9">
        <f>+(BQ73*CE73*faktorji!$B$24)+(BQ73^0.5*CC73*4*4*0.66*faktorji!$B$22)+(BQ73^0.5*CD73*4*4*0.33*faktorji!$B$25)</f>
        <v>0</v>
      </c>
      <c r="CR73" s="3" t="str">
        <f t="shared" si="35"/>
        <v/>
      </c>
      <c r="CS73" s="9">
        <f>+BQ73*('MOL_tabela rezultatov'!CH73*faktorji!$B$26)+faktorji!$B$27*CG73</f>
        <v>0</v>
      </c>
      <c r="CT73" s="3" t="str">
        <f t="shared" si="33"/>
        <v/>
      </c>
      <c r="CU73" s="9">
        <f t="shared" si="2"/>
        <v>0</v>
      </c>
      <c r="CV73" s="9">
        <f t="shared" ref="CV73:CX73" si="44">+CU73</f>
        <v>0</v>
      </c>
      <c r="CW73" s="9">
        <f t="shared" si="44"/>
        <v>0</v>
      </c>
      <c r="CX73" s="69">
        <f t="shared" si="44"/>
        <v>0</v>
      </c>
    </row>
    <row r="74" spans="1:102" s="10" customFormat="1" ht="18" hidden="1" customHeight="1">
      <c r="A74" s="54" t="s">
        <v>143</v>
      </c>
      <c r="B74" s="3" t="s">
        <v>144</v>
      </c>
      <c r="C74" s="56"/>
      <c r="D74" s="56"/>
      <c r="E74" s="51" t="s">
        <v>1169</v>
      </c>
      <c r="F74" s="51"/>
      <c r="G74" s="51">
        <v>4</v>
      </c>
      <c r="H74" s="51"/>
      <c r="I74" s="51"/>
      <c r="J74" s="51">
        <v>6</v>
      </c>
      <c r="K74" s="37" t="s">
        <v>1242</v>
      </c>
      <c r="L74" s="50"/>
      <c r="M74" s="4" t="s">
        <v>5</v>
      </c>
      <c r="N74" s="25">
        <v>18.48151842105263</v>
      </c>
      <c r="O74" s="25"/>
      <c r="P74" s="25"/>
      <c r="Q74" s="25"/>
      <c r="R74" s="25"/>
      <c r="S74" s="25"/>
      <c r="T74" s="25">
        <v>7.2879184210526322</v>
      </c>
      <c r="U74" s="25">
        <v>25.769436842105264</v>
      </c>
      <c r="V74" s="30">
        <v>45.835964912280708</v>
      </c>
      <c r="W74" s="30">
        <v>116.23596491228071</v>
      </c>
      <c r="X74" s="31"/>
      <c r="Y74" s="31"/>
      <c r="Z74" s="31"/>
      <c r="AA74" s="31"/>
      <c r="AB74" s="31"/>
      <c r="AC74" s="31"/>
      <c r="AD74" s="31"/>
      <c r="AE74" s="32"/>
      <c r="AF74" s="1"/>
      <c r="AG74" s="4"/>
      <c r="AH74" s="4"/>
      <c r="AI74" s="6">
        <v>159</v>
      </c>
      <c r="AJ74" s="38"/>
      <c r="AK74" s="34"/>
      <c r="AL74" s="1" t="s">
        <v>120</v>
      </c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42">
        <v>47</v>
      </c>
      <c r="BH74" s="42"/>
      <c r="BI74" s="42"/>
      <c r="BJ74" s="42"/>
      <c r="BK74" s="44">
        <v>47</v>
      </c>
      <c r="BL74" s="44">
        <v>14.564399999999999</v>
      </c>
      <c r="BM74" s="44">
        <f>+BK74+BL74</f>
        <v>61.564399999999999</v>
      </c>
      <c r="BN74" s="47">
        <v>295.59748427672957</v>
      </c>
      <c r="BO74" s="47">
        <v>91.6</v>
      </c>
      <c r="BP74" s="45">
        <v>387.1974842767296</v>
      </c>
      <c r="BQ74" s="9">
        <v>159</v>
      </c>
      <c r="BR74" s="4"/>
      <c r="BS74" s="4"/>
      <c r="BT74" s="4"/>
      <c r="BU74" s="4"/>
      <c r="BV74" s="4" t="s">
        <v>870</v>
      </c>
      <c r="BW74" s="4"/>
      <c r="BX74" s="4"/>
      <c r="BY74" s="9">
        <f>+INT(BK74*faktorji!$B$3)</f>
        <v>3055</v>
      </c>
      <c r="BZ74" s="9">
        <f>+INT(BL74*faktorji!$B$4)</f>
        <v>2403</v>
      </c>
      <c r="CA74" s="4"/>
      <c r="CB74" s="4">
        <v>0</v>
      </c>
      <c r="CC74" s="4">
        <v>0</v>
      </c>
      <c r="CD74" s="4">
        <v>0</v>
      </c>
      <c r="CE74" s="4">
        <v>1</v>
      </c>
      <c r="CF74" s="4">
        <v>1</v>
      </c>
      <c r="CG74" s="4">
        <v>1</v>
      </c>
      <c r="CH74" s="4">
        <v>1</v>
      </c>
      <c r="CI74" s="9">
        <f>+BQ74*(CB74*faktorji!$B$21+'MOL_tabela rezultatov'!CF49*faktorji!$B$23+'MOL_tabela rezultatov'!CH49*faktorji!$B$26)+faktorji!$B$27*CG74</f>
        <v>20623.5</v>
      </c>
      <c r="CJ74" s="9">
        <f>+(BZ74*CF74*faktorji!$B$18)+(CG74*faktorji!$B$17*('MOL_tabela rezultatov'!BY49+'MOL_tabela rezultatov'!BZ49))+('MOL_tabela rezultatov'!CH49*faktorji!$B$16*'MOL_tabela rezultatov'!BY49)+('MOL_tabela rezultatov'!CB49*faktorji!$B$12*'MOL_tabela rezultatov'!BY49)</f>
        <v>713.84999999999991</v>
      </c>
      <c r="CK74" s="66">
        <f>+CI74/CJ74</f>
        <v>28.890523219163693</v>
      </c>
      <c r="CL74" s="3" t="str">
        <f>CONCATENATE(IF(CB74&gt;0,"kotlovnica/toplotna postaja, ",""),IF(CF74&gt;0,"razsvetljava, ",""),IF(CG74&gt;0,"energetsko upravljanje, ",""),IF(CH74&gt;0,"manjši investicijski in organizacijski ukrepi, ",""))</f>
        <v xml:space="preserve">razsvetljava, energetsko upravljanje, manjši investicijski in organizacijski ukrepi, </v>
      </c>
      <c r="CM74" s="9">
        <f>+CJ74*0.9</f>
        <v>642.46499999999992</v>
      </c>
      <c r="CN74" s="9">
        <f>+CJ74*0.9</f>
        <v>642.46499999999992</v>
      </c>
      <c r="CO74" s="9">
        <f>+CJ74*0.9</f>
        <v>642.46499999999992</v>
      </c>
      <c r="CP74" s="69">
        <f>+IF(CI74-SUM(CM74:CO74)&lt;0,0,CI74-SUM(CM74:CO74))</f>
        <v>18696.105</v>
      </c>
      <c r="CQ74" s="9">
        <f>+(BQ74*CE74*faktorji!$B$24)+(BQ74^0.5*CC74*4*4*0.66*faktorji!$B$22)+(BQ74^0.5*CD74*4*4*0.33*faktorji!$B$25)</f>
        <v>3180</v>
      </c>
      <c r="CR74" s="3" t="str">
        <f t="shared" si="35"/>
        <v xml:space="preserve">izolacija podstrešja, </v>
      </c>
      <c r="CS74" s="9">
        <f>+BQ74*('MOL_tabela rezultatov'!CH74*faktorji!$B$26)+faktorji!$B$27*CG74</f>
        <v>18238.5</v>
      </c>
      <c r="CT74" s="3" t="str">
        <f t="shared" si="33"/>
        <v xml:space="preserve">energetsko upravljanje, manjši investicijski in organizacijski ukrepi, </v>
      </c>
      <c r="CU74" s="9">
        <f t="shared" si="2"/>
        <v>4559.625</v>
      </c>
      <c r="CV74" s="9">
        <f t="shared" ref="CV74:CX74" si="45">+CU74</f>
        <v>4559.625</v>
      </c>
      <c r="CW74" s="9">
        <f t="shared" si="45"/>
        <v>4559.625</v>
      </c>
      <c r="CX74" s="69">
        <f t="shared" si="45"/>
        <v>4559.625</v>
      </c>
    </row>
    <row r="75" spans="1:102" s="10" customFormat="1" ht="18" hidden="1" customHeight="1">
      <c r="A75" s="53" t="s">
        <v>167</v>
      </c>
      <c r="B75" s="2" t="s">
        <v>168</v>
      </c>
      <c r="C75" s="57"/>
      <c r="D75" s="57"/>
      <c r="E75" s="51" t="s">
        <v>1170</v>
      </c>
      <c r="F75" s="51"/>
      <c r="G75" s="51">
        <v>2</v>
      </c>
      <c r="H75" s="51" t="s">
        <v>1255</v>
      </c>
      <c r="I75" s="51"/>
      <c r="J75" s="51">
        <v>1</v>
      </c>
      <c r="K75" s="37" t="s">
        <v>1243</v>
      </c>
      <c r="L75" s="50"/>
      <c r="M75" s="4" t="s">
        <v>5</v>
      </c>
      <c r="N75" s="26">
        <v>502.45</v>
      </c>
      <c r="O75" s="25"/>
      <c r="P75" s="25"/>
      <c r="Q75" s="25"/>
      <c r="R75" s="25"/>
      <c r="S75" s="25"/>
      <c r="T75" s="25">
        <v>401.6</v>
      </c>
      <c r="U75" s="25">
        <v>904.05</v>
      </c>
      <c r="V75" s="30">
        <v>86.181182201525772</v>
      </c>
      <c r="W75" s="30">
        <v>107.82304531164498</v>
      </c>
      <c r="X75" s="31">
        <v>498.82</v>
      </c>
      <c r="Y75" s="31"/>
      <c r="Z75" s="31"/>
      <c r="AA75" s="31"/>
      <c r="AB75" s="31"/>
      <c r="AC75" s="31">
        <v>411.77</v>
      </c>
      <c r="AD75" s="31"/>
      <c r="AE75" s="32">
        <v>107.04406699642701</v>
      </c>
      <c r="AF75" s="1" t="s">
        <v>1237</v>
      </c>
      <c r="AG75" s="4"/>
      <c r="AH75" s="4" t="s">
        <v>169</v>
      </c>
      <c r="AI75" s="6">
        <v>4659.95</v>
      </c>
      <c r="AJ75" s="38">
        <v>54.61</v>
      </c>
      <c r="AK75" s="34" t="s">
        <v>92</v>
      </c>
      <c r="AL75" s="1"/>
      <c r="AM75" s="38"/>
      <c r="AN75" s="38">
        <v>330.7</v>
      </c>
      <c r="AO75" s="38">
        <v>296.10000000000002</v>
      </c>
      <c r="AP75" s="38">
        <v>295.10000000000002</v>
      </c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>
        <v>303.3</v>
      </c>
      <c r="BD75" s="37">
        <v>302.2</v>
      </c>
      <c r="BE75" s="37">
        <v>297.3</v>
      </c>
      <c r="BF75" s="37">
        <v>300.5</v>
      </c>
      <c r="BG75" s="42">
        <v>307.3</v>
      </c>
      <c r="BH75" s="42"/>
      <c r="BI75" s="42"/>
      <c r="BJ75" s="42"/>
      <c r="BK75" s="44">
        <f>494.21+44.87</f>
        <v>539.07999999999993</v>
      </c>
      <c r="BL75" s="44">
        <v>399.01</v>
      </c>
      <c r="BM75" s="44">
        <f>+BK75+BL75</f>
        <v>938.08999999999992</v>
      </c>
      <c r="BN75" s="47">
        <v>113.18600368324125</v>
      </c>
      <c r="BO75" s="47">
        <v>110.8011049723757</v>
      </c>
      <c r="BP75" s="45">
        <v>223.98710865561694</v>
      </c>
      <c r="BQ75" s="9">
        <v>2715</v>
      </c>
      <c r="BR75" s="4" t="s">
        <v>1139</v>
      </c>
      <c r="BS75" s="4">
        <v>2009</v>
      </c>
      <c r="BT75" s="4" t="s">
        <v>872</v>
      </c>
      <c r="BU75" s="4" t="s">
        <v>1140</v>
      </c>
      <c r="BV75" s="4" t="s">
        <v>1141</v>
      </c>
      <c r="BW75" s="4" t="s">
        <v>1142</v>
      </c>
      <c r="BX75" s="4"/>
      <c r="BY75" s="9">
        <f>+INT(BK75*faktorji!$B$3)</f>
        <v>35040</v>
      </c>
      <c r="BZ75" s="9">
        <f>+INT(BL75*faktorji!$B$4)</f>
        <v>65836</v>
      </c>
      <c r="CA75" s="3" t="s">
        <v>1316</v>
      </c>
      <c r="CB75" s="4">
        <v>0</v>
      </c>
      <c r="CC75" s="4">
        <v>0</v>
      </c>
      <c r="CD75" s="4">
        <v>0</v>
      </c>
      <c r="CE75" s="4">
        <v>0</v>
      </c>
      <c r="CF75" s="4">
        <v>0</v>
      </c>
      <c r="CG75" s="4">
        <v>1</v>
      </c>
      <c r="CH75" s="4">
        <v>1</v>
      </c>
      <c r="CI75" s="9">
        <v>376000</v>
      </c>
      <c r="CJ75" s="9">
        <f>+(BZ75*CF75*faktorji!$B$18)+(CG75*faktorji!$B$17*('MOL_tabela rezultatov'!BY61+'MOL_tabela rezultatov'!BZ61))+('MOL_tabela rezultatov'!CH61*faktorji!$B$16*'MOL_tabela rezultatov'!BY61)+('MOL_tabela rezultatov'!CB61*faktorji!$B$12*'MOL_tabela rezultatov'!BY61)</f>
        <v>4616.3000000000011</v>
      </c>
      <c r="CK75" s="66">
        <f>+CI75/CJ75</f>
        <v>81.450512315057495</v>
      </c>
      <c r="CL75" s="3" t="str">
        <f>CONCATENATE(IF(CB75&gt;0,"kotlovnica/toplotna postaja, ",""),IF(CF75&gt;0,"razsvetljava, ",""),IF(CG75&gt;0,"energetsko upravljanje, ",""),IF(CH75&gt;0,"manjši investicijski in organizacijski ukrepi, ",""))</f>
        <v xml:space="preserve">energetsko upravljanje, manjši investicijski in organizacijski ukrepi, </v>
      </c>
      <c r="CM75" s="9">
        <f>+CJ75*0.9</f>
        <v>4154.670000000001</v>
      </c>
      <c r="CN75" s="9">
        <f>+CJ75*0.9</f>
        <v>4154.670000000001</v>
      </c>
      <c r="CO75" s="9">
        <f>+CJ75*0.9</f>
        <v>4154.670000000001</v>
      </c>
      <c r="CP75" s="69">
        <f>+IF(CI75-SUM(CM75:CO75)&lt;0,0,CI75-SUM(CM75:CO75))</f>
        <v>363535.99</v>
      </c>
      <c r="CQ75" s="9">
        <f>+(BQ75*CE75*faktorji!$B$24)+(BQ75^0.5*CC75*4*4*0.66*faktorji!$B$22)+(BQ75^0.5*CD75*4*4*0.33*faktorji!$B$25)</f>
        <v>0</v>
      </c>
      <c r="CR75" s="3" t="str">
        <f t="shared" si="35"/>
        <v/>
      </c>
      <c r="CS75" s="9">
        <f>+BQ75*('MOL_tabela rezultatov'!CH75*faktorji!$B$26)+faktorji!$B$27*CG75</f>
        <v>22072.5</v>
      </c>
      <c r="CT75" s="3" t="str">
        <f t="shared" si="33"/>
        <v xml:space="preserve">energetsko upravljanje, manjši investicijski in organizacijski ukrepi, </v>
      </c>
      <c r="CU75" s="9">
        <f t="shared" si="2"/>
        <v>5518.125</v>
      </c>
      <c r="CV75" s="9">
        <f t="shared" ref="CV75:CX75" si="46">+CU75</f>
        <v>5518.125</v>
      </c>
      <c r="CW75" s="9">
        <f t="shared" si="46"/>
        <v>5518.125</v>
      </c>
      <c r="CX75" s="69">
        <f t="shared" si="46"/>
        <v>5518.125</v>
      </c>
    </row>
    <row r="76" spans="1:102" s="10" customFormat="1" ht="18" hidden="1" customHeight="1">
      <c r="A76" s="53" t="s">
        <v>483</v>
      </c>
      <c r="B76" s="2" t="s">
        <v>484</v>
      </c>
      <c r="C76" s="57"/>
      <c r="D76" s="57"/>
      <c r="E76" s="51" t="s">
        <v>1175</v>
      </c>
      <c r="F76" s="51"/>
      <c r="G76" s="51">
        <v>3</v>
      </c>
      <c r="H76" s="51"/>
      <c r="I76" s="51"/>
      <c r="J76" s="51">
        <v>7</v>
      </c>
      <c r="K76" s="37" t="s">
        <v>1243</v>
      </c>
      <c r="L76" s="50"/>
      <c r="M76" s="4" t="s">
        <v>6</v>
      </c>
      <c r="N76" s="25"/>
      <c r="O76" s="28">
        <v>661.78899999999999</v>
      </c>
      <c r="P76" s="25"/>
      <c r="Q76" s="25"/>
      <c r="R76" s="25"/>
      <c r="S76" s="25"/>
      <c r="T76" s="25">
        <v>162.32</v>
      </c>
      <c r="U76" s="25">
        <v>824.10899999999992</v>
      </c>
      <c r="V76" s="30">
        <v>19.79512195121951</v>
      </c>
      <c r="W76" s="30">
        <v>80.705975609756095</v>
      </c>
      <c r="X76" s="31"/>
      <c r="Y76" s="31"/>
      <c r="Z76" s="31"/>
      <c r="AA76" s="31"/>
      <c r="AB76" s="31"/>
      <c r="AC76" s="31"/>
      <c r="AD76" s="31"/>
      <c r="AE76" s="32"/>
      <c r="AF76" s="16" t="s">
        <v>485</v>
      </c>
      <c r="AG76" s="3" t="s">
        <v>486</v>
      </c>
      <c r="AH76" s="4"/>
      <c r="AI76" s="6">
        <v>8200</v>
      </c>
      <c r="AJ76" s="38">
        <v>100</v>
      </c>
      <c r="AK76" s="3"/>
      <c r="AL76" s="1" t="s">
        <v>482</v>
      </c>
      <c r="AM76" s="37"/>
      <c r="AN76" s="37"/>
      <c r="AO76" s="37"/>
      <c r="AP76" s="37"/>
      <c r="AQ76" s="37">
        <f>(3311.8*9.5)/1000</f>
        <v>31.462100000000003</v>
      </c>
      <c r="AR76" s="37">
        <f>(2039.9*9.5)/1000</f>
        <v>19.379049999999999</v>
      </c>
      <c r="AS76" s="37">
        <f>(2273*9.5)/1000</f>
        <v>21.593499999999999</v>
      </c>
      <c r="AT76" s="37">
        <f>(2035*9.5)/1000</f>
        <v>19.3325</v>
      </c>
      <c r="AU76" s="37"/>
      <c r="AV76" s="37"/>
      <c r="AW76" s="37"/>
      <c r="AX76" s="37"/>
      <c r="AY76" s="37"/>
      <c r="AZ76" s="37"/>
      <c r="BA76" s="37"/>
      <c r="BB76" s="37"/>
      <c r="BC76" s="37">
        <v>71.8</v>
      </c>
      <c r="BD76" s="37">
        <v>75.900000000000006</v>
      </c>
      <c r="BE76" s="37">
        <v>73.599999999999994</v>
      </c>
      <c r="BF76" s="37">
        <v>72.900000000000006</v>
      </c>
      <c r="BG76" s="42"/>
      <c r="BH76" s="42">
        <v>731.82178750000003</v>
      </c>
      <c r="BI76" s="42"/>
      <c r="BJ76" s="42"/>
      <c r="BK76" s="44">
        <v>731.82178750000003</v>
      </c>
      <c r="BL76" s="44">
        <v>73.55</v>
      </c>
      <c r="BM76" s="44">
        <f>+BK76+BL76</f>
        <v>805.37178749999998</v>
      </c>
      <c r="BN76" s="47">
        <v>89.246559451219511</v>
      </c>
      <c r="BO76" s="47">
        <v>8.9695121951219505</v>
      </c>
      <c r="BP76" s="45">
        <v>98.216071646341462</v>
      </c>
      <c r="BQ76" s="9">
        <v>8200</v>
      </c>
      <c r="BR76" s="4" t="s">
        <v>1025</v>
      </c>
      <c r="BS76" s="4">
        <v>2005</v>
      </c>
      <c r="BT76" s="4" t="s">
        <v>872</v>
      </c>
      <c r="BU76" s="4"/>
      <c r="BV76" s="4" t="s">
        <v>1026</v>
      </c>
      <c r="BW76" s="4" t="s">
        <v>1027</v>
      </c>
      <c r="BX76" s="4"/>
      <c r="BY76" s="9">
        <f>+INT(BK76*faktorji!$B$5)</f>
        <v>69523</v>
      </c>
      <c r="BZ76" s="9">
        <f>+INT(BL76*faktorji!$B$4)</f>
        <v>12135</v>
      </c>
      <c r="CA76" s="4"/>
      <c r="CB76" s="4">
        <v>0</v>
      </c>
      <c r="CC76" s="4">
        <v>1</v>
      </c>
      <c r="CD76" s="4">
        <v>0</v>
      </c>
      <c r="CE76" s="4">
        <v>0</v>
      </c>
      <c r="CF76" s="4">
        <v>0.5</v>
      </c>
      <c r="CG76" s="4">
        <v>1</v>
      </c>
      <c r="CH76" s="4">
        <v>1</v>
      </c>
      <c r="CI76" s="9">
        <f>+BQ76*(CB76*faktorji!$B$21+'MOL_tabela rezultatov'!CF186*faktorji!$B$23+'MOL_tabela rezultatov'!CH186*faktorji!$B$26)+faktorji!$B$27*CG76</f>
        <v>153300</v>
      </c>
      <c r="CJ76" s="9">
        <f>+(BZ76*CF76*faktorji!$B$18)+(CG76*faktorji!$B$17*('MOL_tabela rezultatov'!BY186+'MOL_tabela rezultatov'!BZ186))+('MOL_tabela rezultatov'!CH186*faktorji!$B$16*'MOL_tabela rezultatov'!BY186)+('MOL_tabela rezultatov'!CB186*faktorji!$B$12*'MOL_tabela rezultatov'!BY186)</f>
        <v>910.125</v>
      </c>
      <c r="CK76" s="66">
        <f>+CI76/CJ76</f>
        <v>168.43840131850021</v>
      </c>
      <c r="CL76" s="3" t="str">
        <f>CONCATENATE(IF(CB76&gt;0,"kotlovnica/toplotna postaja, ",""),IF(CF76&gt;0,"razsvetljava, ",""),IF(CG76&gt;0,"energetsko upravljanje, ",""),IF(CH76&gt;0,"manjši investicijski in organizacijski ukrepi, ",""))</f>
        <v xml:space="preserve">razsvetljava, energetsko upravljanje, manjši investicijski in organizacijski ukrepi, </v>
      </c>
      <c r="CM76" s="9">
        <f>+CJ76*0.9</f>
        <v>819.11250000000007</v>
      </c>
      <c r="CN76" s="9">
        <f>+CJ76*0.9</f>
        <v>819.11250000000007</v>
      </c>
      <c r="CO76" s="9">
        <f>+CJ76*0.9</f>
        <v>819.11250000000007</v>
      </c>
      <c r="CP76" s="69">
        <f>+IF(CI76-SUM(CM76:CO76)&lt;0,0,CI76-SUM(CM76:CO76))</f>
        <v>150842.66250000001</v>
      </c>
      <c r="CQ76" s="9">
        <f>+(BQ76*CE76*faktorji!$B$24)+(BQ76^0.5*CC76*4*4*0.66*faktorji!$B$22)+(BQ76^0.5*CD76*4*4*0.33*faktorji!$B$25)</f>
        <v>66937.406941111782</v>
      </c>
      <c r="CR76" s="3" t="str">
        <f t="shared" si="35"/>
        <v xml:space="preserve">izolacija ovoja, </v>
      </c>
      <c r="CS76" s="9">
        <f>+BQ76*('MOL_tabela rezultatov'!CH76*faktorji!$B$26)+faktorji!$B$27*CG76</f>
        <v>30300</v>
      </c>
      <c r="CT76" s="3" t="str">
        <f t="shared" si="33"/>
        <v xml:space="preserve">energetsko upravljanje, manjši investicijski in organizacijski ukrepi, </v>
      </c>
      <c r="CU76" s="9">
        <f t="shared" si="2"/>
        <v>7575</v>
      </c>
      <c r="CV76" s="9">
        <f t="shared" ref="CV76:CX76" si="47">+CU76</f>
        <v>7575</v>
      </c>
      <c r="CW76" s="9">
        <f t="shared" si="47"/>
        <v>7575</v>
      </c>
      <c r="CX76" s="69">
        <f t="shared" si="47"/>
        <v>7575</v>
      </c>
    </row>
    <row r="77" spans="1:102" s="10" customFormat="1" ht="18" customHeight="1">
      <c r="A77" s="117" t="s">
        <v>561</v>
      </c>
      <c r="B77" s="146" t="s">
        <v>562</v>
      </c>
      <c r="C77" s="57"/>
      <c r="D77" s="57"/>
      <c r="E77" s="51" t="s">
        <v>1175</v>
      </c>
      <c r="F77" s="51"/>
      <c r="G77" s="51">
        <v>2</v>
      </c>
      <c r="H77" s="51" t="s">
        <v>1251</v>
      </c>
      <c r="I77" s="51"/>
      <c r="J77" s="51">
        <v>2</v>
      </c>
      <c r="K77" s="38"/>
      <c r="L77" s="50"/>
      <c r="M77" s="4" t="s">
        <v>6</v>
      </c>
      <c r="N77" s="25"/>
      <c r="O77" s="25">
        <v>1125</v>
      </c>
      <c r="P77" s="25"/>
      <c r="Q77" s="25"/>
      <c r="R77" s="25"/>
      <c r="S77" s="25"/>
      <c r="T77" s="25">
        <v>106.46131275066753</v>
      </c>
      <c r="U77" s="25">
        <v>1231.4613127506675</v>
      </c>
      <c r="V77" s="30">
        <v>24.718205885922341</v>
      </c>
      <c r="W77" s="30">
        <v>261.20269328999302</v>
      </c>
      <c r="X77" s="31"/>
      <c r="Y77" s="31"/>
      <c r="Z77" s="31"/>
      <c r="AA77" s="31"/>
      <c r="AB77" s="31"/>
      <c r="AC77" s="31"/>
      <c r="AD77" s="31"/>
      <c r="AE77" s="32"/>
      <c r="AF77" s="16"/>
      <c r="AG77" s="3"/>
      <c r="AH77" s="4"/>
      <c r="AI77" s="6">
        <v>4307</v>
      </c>
      <c r="AJ77" s="38">
        <v>100</v>
      </c>
      <c r="AK77" s="3"/>
      <c r="AL77" s="1"/>
      <c r="AM77" s="37"/>
      <c r="AN77" s="37"/>
      <c r="AO77" s="37"/>
      <c r="AP77" s="37"/>
      <c r="AQ77" s="37">
        <f>((4206+105550)*9.5)/1000</f>
        <v>1042.682</v>
      </c>
      <c r="AR77" s="37">
        <f>((3312+100158)*9.5)/1000</f>
        <v>982.96500000000003</v>
      </c>
      <c r="AS77" s="37">
        <f>((4187+111057)*9.5)/1000</f>
        <v>1094.818</v>
      </c>
      <c r="AT77" s="37">
        <f>((2248+98602)*9.5)/1000</f>
        <v>958.07500000000005</v>
      </c>
      <c r="AU77" s="37"/>
      <c r="AV77" s="37"/>
      <c r="AW77" s="37"/>
      <c r="AX77" s="37"/>
      <c r="AY77" s="37"/>
      <c r="AZ77" s="37"/>
      <c r="BA77" s="37"/>
      <c r="BB77" s="37"/>
      <c r="BC77" s="37">
        <v>151.6</v>
      </c>
      <c r="BD77" s="37">
        <v>142.30000000000001</v>
      </c>
      <c r="BE77" s="37">
        <v>135.1</v>
      </c>
      <c r="BF77" s="37">
        <v>148.4</v>
      </c>
      <c r="BG77" s="42"/>
      <c r="BH77" s="42">
        <v>1019.635</v>
      </c>
      <c r="BI77" s="42"/>
      <c r="BJ77" s="42"/>
      <c r="BK77" s="44">
        <v>1019.635</v>
      </c>
      <c r="BL77" s="44">
        <v>144.35</v>
      </c>
      <c r="BM77" s="44">
        <f>+BK77+BL77</f>
        <v>1163.9849999999999</v>
      </c>
      <c r="BN77" s="47">
        <v>247.36414361960215</v>
      </c>
      <c r="BO77" s="47">
        <v>35.019408054342556</v>
      </c>
      <c r="BP77" s="45">
        <v>282.38355167394468</v>
      </c>
      <c r="BQ77" s="9">
        <v>4122</v>
      </c>
      <c r="BR77" s="4" t="s">
        <v>907</v>
      </c>
      <c r="BS77" s="4">
        <v>1998</v>
      </c>
      <c r="BT77" s="4" t="s">
        <v>872</v>
      </c>
      <c r="BU77" s="4"/>
      <c r="BV77" s="4" t="s">
        <v>898</v>
      </c>
      <c r="BW77" s="4"/>
      <c r="BX77" s="4" t="s">
        <v>1058</v>
      </c>
      <c r="BY77" s="9">
        <f>+INT(BK77*faktorji!$B$5)</f>
        <v>96865</v>
      </c>
      <c r="BZ77" s="9">
        <f>+INT(BL77*faktorji!$B$4)</f>
        <v>23817</v>
      </c>
      <c r="CA77" s="3" t="s">
        <v>1300</v>
      </c>
      <c r="CB77" s="4">
        <v>1</v>
      </c>
      <c r="CC77" s="4">
        <v>1</v>
      </c>
      <c r="CD77" s="4">
        <v>0</v>
      </c>
      <c r="CE77" s="4">
        <v>0</v>
      </c>
      <c r="CF77" s="4">
        <v>1</v>
      </c>
      <c r="CG77" s="4">
        <v>1</v>
      </c>
      <c r="CH77" s="4">
        <v>1</v>
      </c>
      <c r="CI77" s="9">
        <f>+BQ77*(CB77*faktorji!$B$21+'MOL_tabela rezultatov'!CF210*faktorji!$B$23+'MOL_tabela rezultatov'!CH210*faktorji!$B$26)+faktorji!$B$27*CG77</f>
        <v>147843</v>
      </c>
      <c r="CJ77" s="9">
        <f>+(BZ77*CF77*faktorji!$B$18)+(CG77*faktorji!$B$17*('MOL_tabela rezultatov'!BY210+'MOL_tabela rezultatov'!BZ210))+('MOL_tabela rezultatov'!CH210*faktorji!$B$16*'MOL_tabela rezultatov'!BY210)+('MOL_tabela rezultatov'!CB210*faktorji!$B$12*'MOL_tabela rezultatov'!BY210)</f>
        <v>7359.95</v>
      </c>
      <c r="CK77" s="66">
        <f>+CI77/CJ77</f>
        <v>20.087500594433386</v>
      </c>
      <c r="CL77" s="3" t="str">
        <f>CONCATENATE(IF(CB77&gt;0,"kotlovnica/toplotna postaja, ",""),IF(CF77&gt;0,"razsvetljava, ",""),IF(CG77&gt;0,"energetsko upravljanje, ",""),IF(CH77&gt;0,"manjši investicijski in organizacijski ukrepi, ",""))</f>
        <v xml:space="preserve">kotlovnica/toplotna postaja, razsvetljava, energetsko upravljanje, manjši investicijski in organizacijski ukrepi, </v>
      </c>
      <c r="CM77" s="9">
        <f>+CJ77*0.9</f>
        <v>6623.9549999999999</v>
      </c>
      <c r="CN77" s="9">
        <f>+CJ77*0.9</f>
        <v>6623.9549999999999</v>
      </c>
      <c r="CO77" s="9">
        <f>+CJ77*0.9</f>
        <v>6623.9549999999999</v>
      </c>
      <c r="CP77" s="69">
        <f>+IF(CI77-SUM(CM77:CO77)&lt;0,0,CI77-SUM(CM77:CO77))</f>
        <v>127971.13500000001</v>
      </c>
      <c r="CQ77" s="9">
        <f>+(BQ77*CE77*faktorji!$B$24)+(BQ77^0.5*CC77*4*4*0.66*faktorji!$B$22)+(BQ77^0.5*CD77*4*4*0.33*faktorji!$B$25)</f>
        <v>47458.712478110916</v>
      </c>
      <c r="CR77" s="3" t="str">
        <f t="shared" si="35"/>
        <v xml:space="preserve">izolacija ovoja, </v>
      </c>
      <c r="CS77" s="9">
        <f>+BQ77*('MOL_tabela rezultatov'!CH77*faktorji!$B$26)+faktorji!$B$27*CG77</f>
        <v>24183</v>
      </c>
      <c r="CT77" s="3" t="str">
        <f t="shared" si="33"/>
        <v xml:space="preserve">energetsko upravljanje, manjši investicijski in organizacijski ukrepi, </v>
      </c>
      <c r="CU77" s="9">
        <f t="shared" si="2"/>
        <v>6045.75</v>
      </c>
      <c r="CV77" s="9">
        <f t="shared" ref="CV77:CX77" si="48">+CU77</f>
        <v>6045.75</v>
      </c>
      <c r="CW77" s="9">
        <f t="shared" si="48"/>
        <v>6045.75</v>
      </c>
      <c r="CX77" s="69">
        <f t="shared" si="48"/>
        <v>6045.75</v>
      </c>
    </row>
    <row r="78" spans="1:102" s="10" customFormat="1" ht="18" hidden="1" customHeight="1">
      <c r="A78" s="54" t="s">
        <v>413</v>
      </c>
      <c r="B78" s="3" t="s">
        <v>414</v>
      </c>
      <c r="C78" s="56"/>
      <c r="D78" s="56"/>
      <c r="E78" s="51" t="s">
        <v>1175</v>
      </c>
      <c r="F78" s="51"/>
      <c r="G78" s="51">
        <v>3</v>
      </c>
      <c r="H78" s="51"/>
      <c r="I78" s="51"/>
      <c r="J78" s="51">
        <v>7</v>
      </c>
      <c r="K78" s="37" t="s">
        <v>1243</v>
      </c>
      <c r="L78" s="50"/>
      <c r="M78" s="4" t="s">
        <v>5</v>
      </c>
      <c r="N78" s="25">
        <v>416</v>
      </c>
      <c r="O78" s="25"/>
      <c r="P78" s="25"/>
      <c r="Q78" s="25"/>
      <c r="R78" s="25"/>
      <c r="S78" s="25"/>
      <c r="T78" s="25">
        <v>227.2</v>
      </c>
      <c r="U78" s="25">
        <v>643.20000000000005</v>
      </c>
      <c r="V78" s="30">
        <v>102.94517444494788</v>
      </c>
      <c r="W78" s="30">
        <v>188.49116447666515</v>
      </c>
      <c r="X78" s="31"/>
      <c r="Y78" s="31"/>
      <c r="Z78" s="31"/>
      <c r="AA78" s="31"/>
      <c r="AB78" s="31"/>
      <c r="AC78" s="31"/>
      <c r="AD78" s="31"/>
      <c r="AE78" s="32"/>
      <c r="AF78" s="16"/>
      <c r="AG78" s="3"/>
      <c r="AH78" s="4"/>
      <c r="AI78" s="6">
        <v>2207</v>
      </c>
      <c r="AJ78" s="38"/>
      <c r="AK78" s="3"/>
      <c r="AL78" s="1"/>
      <c r="AM78" s="37"/>
      <c r="AN78" s="37"/>
      <c r="AO78" s="37">
        <v>110.01</v>
      </c>
      <c r="AP78" s="37">
        <v>297.74</v>
      </c>
      <c r="AQ78" s="37"/>
      <c r="AR78" s="37"/>
      <c r="AS78" s="37">
        <f>(1930.75*9.5)/1000</f>
        <v>18.342124999999999</v>
      </c>
      <c r="AT78" s="37">
        <f>(2298.9*9.5)/1000</f>
        <v>21.839549999999999</v>
      </c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>
        <v>104.52</v>
      </c>
      <c r="BF78" s="37">
        <v>99.93</v>
      </c>
      <c r="BG78" s="42">
        <v>203.875</v>
      </c>
      <c r="BH78" s="42">
        <v>20.090837499999999</v>
      </c>
      <c r="BI78" s="42"/>
      <c r="BJ78" s="42"/>
      <c r="BK78" s="44">
        <v>223.96583749999999</v>
      </c>
      <c r="BL78" s="44">
        <v>102.22499999999999</v>
      </c>
      <c r="BM78" s="44">
        <f>+BK78+BL78</f>
        <v>326.19083749999999</v>
      </c>
      <c r="BN78" s="47">
        <v>56.223380820886156</v>
      </c>
      <c r="BO78" s="47">
        <v>25.662106188025607</v>
      </c>
      <c r="BP78" s="45">
        <v>30.705620057738166</v>
      </c>
      <c r="BQ78" s="9">
        <v>3983.5</v>
      </c>
      <c r="BR78" s="4">
        <v>787</v>
      </c>
      <c r="BS78" s="4">
        <v>2005</v>
      </c>
      <c r="BT78" s="4" t="s">
        <v>872</v>
      </c>
      <c r="BU78" s="4"/>
      <c r="BV78" s="4" t="s">
        <v>898</v>
      </c>
      <c r="BW78" s="4"/>
      <c r="BX78" s="4"/>
      <c r="BY78" s="9">
        <f>+INT(BK78*faktorji!$B$3)</f>
        <v>14557</v>
      </c>
      <c r="BZ78" s="9">
        <f>+INT(BL78*faktorji!$B$4)</f>
        <v>16867</v>
      </c>
      <c r="CA78" s="4"/>
      <c r="CB78" s="4">
        <v>0</v>
      </c>
      <c r="CC78" s="4">
        <v>1</v>
      </c>
      <c r="CD78" s="4">
        <v>0</v>
      </c>
      <c r="CE78" s="4">
        <v>0</v>
      </c>
      <c r="CF78" s="4">
        <v>1</v>
      </c>
      <c r="CG78" s="4">
        <v>1</v>
      </c>
      <c r="CH78" s="4">
        <v>1</v>
      </c>
      <c r="CI78" s="9">
        <f>+BQ78*(CB78*faktorji!$B$21+'MOL_tabela rezultatov'!CF164*faktorji!$B$23+'MOL_tabela rezultatov'!CH164*faktorji!$B$26)+faktorji!$B$27*CG78</f>
        <v>83727.75</v>
      </c>
      <c r="CJ78" s="9">
        <f>+(BZ78*CF78*faktorji!$B$18)+(CG78*faktorji!$B$17*('MOL_tabela rezultatov'!BY164+'MOL_tabela rezultatov'!BZ164))+('MOL_tabela rezultatov'!CH164*faktorji!$B$16*'MOL_tabela rezultatov'!BY164)+('MOL_tabela rezultatov'!CB164*faktorji!$B$12*'MOL_tabela rezultatov'!BY164)</f>
        <v>5557.95</v>
      </c>
      <c r="CK78" s="66">
        <f>+CI78/CJ78</f>
        <v>15.064502199551994</v>
      </c>
      <c r="CL78" s="3" t="str">
        <f>CONCATENATE(IF(CB78&gt;0,"kotlovnica/toplotna postaja, ",""),IF(CF78&gt;0,"razsvetljava, ",""),IF(CG78&gt;0,"energetsko upravljanje, ",""),IF(CH78&gt;0,"manjši investicijski in organizacijski ukrepi, ",""))</f>
        <v xml:space="preserve">razsvetljava, energetsko upravljanje, manjši investicijski in organizacijski ukrepi, </v>
      </c>
      <c r="CM78" s="9">
        <f>+CJ78*0.9</f>
        <v>5002.1549999999997</v>
      </c>
      <c r="CN78" s="9">
        <f>+CJ78*0.9</f>
        <v>5002.1549999999997</v>
      </c>
      <c r="CO78" s="9">
        <f>+CJ78*0.9</f>
        <v>5002.1549999999997</v>
      </c>
      <c r="CP78" s="69">
        <f>+IF(CI78-SUM(CM78:CO78)&lt;0,0,CI78-SUM(CM78:CO78))</f>
        <v>68721.285000000003</v>
      </c>
      <c r="CQ78" s="9">
        <f>+(BQ78*CE78*faktorji!$B$24)+(BQ78^0.5*CC78*4*4*0.66*faktorji!$B$22)+(BQ78^0.5*CD78*4*4*0.33*faktorji!$B$25)</f>
        <v>46654.589114469753</v>
      </c>
      <c r="CR78" s="3" t="str">
        <f t="shared" si="35"/>
        <v xml:space="preserve">izolacija ovoja, </v>
      </c>
      <c r="CS78" s="9">
        <f>+BQ78*('MOL_tabela rezultatov'!CH78*faktorji!$B$26)+faktorji!$B$27*CG78</f>
        <v>23975.25</v>
      </c>
      <c r="CT78" s="3" t="str">
        <f t="shared" si="33"/>
        <v xml:space="preserve">energetsko upravljanje, manjši investicijski in organizacijski ukrepi, </v>
      </c>
      <c r="CU78" s="9">
        <f t="shared" si="2"/>
        <v>5993.8125</v>
      </c>
      <c r="CV78" s="9">
        <f t="shared" ref="CV78:CX78" si="49">+CU78</f>
        <v>5993.8125</v>
      </c>
      <c r="CW78" s="9">
        <f t="shared" si="49"/>
        <v>5993.8125</v>
      </c>
      <c r="CX78" s="69">
        <f t="shared" si="49"/>
        <v>5993.8125</v>
      </c>
    </row>
    <row r="79" spans="1:102" s="10" customFormat="1" ht="18" hidden="1" customHeight="1">
      <c r="A79" s="53" t="s">
        <v>773</v>
      </c>
      <c r="B79" s="2" t="s">
        <v>774</v>
      </c>
      <c r="C79" s="57"/>
      <c r="D79" s="57"/>
      <c r="E79" s="51" t="s">
        <v>1176</v>
      </c>
      <c r="F79" s="51"/>
      <c r="G79" s="51">
        <v>3</v>
      </c>
      <c r="H79" s="51"/>
      <c r="I79" s="51"/>
      <c r="J79" s="51">
        <v>7</v>
      </c>
      <c r="K79" s="37" t="s">
        <v>1244</v>
      </c>
      <c r="L79" s="50"/>
      <c r="M79" s="4" t="s">
        <v>5</v>
      </c>
      <c r="N79" s="28">
        <v>230</v>
      </c>
      <c r="O79" s="25"/>
      <c r="P79" s="25"/>
      <c r="Q79" s="25"/>
      <c r="R79" s="25"/>
      <c r="S79" s="25"/>
      <c r="T79" s="25">
        <v>66.347999999999999</v>
      </c>
      <c r="U79" s="25">
        <v>296.34800000000001</v>
      </c>
      <c r="V79" s="30">
        <v>20.154313487241801</v>
      </c>
      <c r="W79" s="30">
        <v>69.866342648845688</v>
      </c>
      <c r="X79" s="31"/>
      <c r="Y79" s="31"/>
      <c r="Z79" s="31"/>
      <c r="AA79" s="31"/>
      <c r="AB79" s="31"/>
      <c r="AC79" s="31"/>
      <c r="AD79" s="31"/>
      <c r="AE79" s="32"/>
      <c r="AF79" s="16" t="s">
        <v>472</v>
      </c>
      <c r="AG79" s="3" t="s">
        <v>472</v>
      </c>
      <c r="AH79" s="4"/>
      <c r="AI79" s="6">
        <v>3292</v>
      </c>
      <c r="AJ79" s="38">
        <v>100</v>
      </c>
      <c r="AK79" s="3"/>
      <c r="AL79" s="1" t="s">
        <v>775</v>
      </c>
      <c r="AM79" s="39"/>
      <c r="AN79" s="39"/>
      <c r="AO79" s="39"/>
      <c r="AP79" s="39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42">
        <v>461</v>
      </c>
      <c r="BH79" s="42">
        <v>27.1</v>
      </c>
      <c r="BI79" s="42"/>
      <c r="BJ79" s="42"/>
      <c r="BK79" s="44">
        <v>488.1</v>
      </c>
      <c r="BL79" s="44">
        <v>66.349999999999994</v>
      </c>
      <c r="BM79" s="44">
        <f>+BK79+BL79</f>
        <v>554.45000000000005</v>
      </c>
      <c r="BN79" s="47">
        <v>148.2685297691373</v>
      </c>
      <c r="BO79" s="47">
        <v>20.154921020656136</v>
      </c>
      <c r="BP79" s="45">
        <v>168.42345078979343</v>
      </c>
      <c r="BQ79" s="9">
        <v>3292</v>
      </c>
      <c r="BR79" s="4"/>
      <c r="BS79" s="4"/>
      <c r="BT79" s="4"/>
      <c r="BU79" s="4"/>
      <c r="BV79" s="4"/>
      <c r="BW79" s="4"/>
      <c r="BX79" s="4"/>
      <c r="BY79" s="9">
        <f>+INT(BK79*faktorji!$B$3)</f>
        <v>31726</v>
      </c>
      <c r="BZ79" s="9">
        <f>+INT(BL79*faktorji!$B$4)</f>
        <v>10947</v>
      </c>
      <c r="CA79" s="4"/>
      <c r="CB79" s="4">
        <v>0</v>
      </c>
      <c r="CC79" s="4">
        <v>0</v>
      </c>
      <c r="CD79" s="4">
        <v>0</v>
      </c>
      <c r="CE79" s="4">
        <v>0</v>
      </c>
      <c r="CF79" s="4">
        <v>0</v>
      </c>
      <c r="CG79" s="4">
        <v>1</v>
      </c>
      <c r="CH79" s="4">
        <v>1</v>
      </c>
      <c r="CI79" s="9">
        <f>+BQ79*(CB79*faktorji!$B$21+'MOL_tabela rezultatov'!CF281*faktorji!$B$23+'MOL_tabela rezultatov'!CH281*faktorji!$B$26)+faktorji!$B$27*CG79</f>
        <v>22938</v>
      </c>
      <c r="CJ79" s="9">
        <f>+(BZ79*CF79*faktorji!$B$18)+(CG79*faktorji!$B$17*('MOL_tabela rezultatov'!BY281+'MOL_tabela rezultatov'!BZ281))+('MOL_tabela rezultatov'!CH281*faktorji!$B$16*'MOL_tabela rezultatov'!BY281)+('MOL_tabela rezultatov'!CB281*faktorji!$B$12*'MOL_tabela rezultatov'!BY281)</f>
        <v>660.30000000000007</v>
      </c>
      <c r="CK79" s="66">
        <f>+CI79/CJ79</f>
        <v>34.738755111313033</v>
      </c>
      <c r="CL79" s="3" t="str">
        <f>CONCATENATE(IF(CB79&gt;0,"kotlovnica/toplotna postaja, ",""),IF(CF79&gt;0,"razsvetljava, ",""),IF(CG79&gt;0,"energetsko upravljanje, ",""),IF(CH79&gt;0,"manjši investicijski in organizacijski ukrepi, ",""))</f>
        <v xml:space="preserve">energetsko upravljanje, manjši investicijski in organizacijski ukrepi, </v>
      </c>
      <c r="CM79" s="9">
        <f>+CJ79*0.9</f>
        <v>594.2700000000001</v>
      </c>
      <c r="CN79" s="9">
        <f>+CJ79*0.9</f>
        <v>594.2700000000001</v>
      </c>
      <c r="CO79" s="9">
        <f>+CJ79*0.9</f>
        <v>594.2700000000001</v>
      </c>
      <c r="CP79" s="69">
        <f>+IF(CI79-SUM(CM79:CO79)&lt;0,0,CI79-SUM(CM79:CO79))</f>
        <v>21155.19</v>
      </c>
      <c r="CQ79" s="9">
        <f>+(BQ79*CE79*faktorji!$B$24)+(BQ79^0.5*CC79*4*4*0.66*faktorji!$B$22)+(BQ79^0.5*CD79*4*4*0.33*faktorji!$B$25)</f>
        <v>0</v>
      </c>
      <c r="CR79" s="3" t="str">
        <f t="shared" si="35"/>
        <v/>
      </c>
      <c r="CS79" s="9">
        <f>+BQ79*('MOL_tabela rezultatov'!CH79*faktorji!$B$26)+faktorji!$B$27*CG79</f>
        <v>22938</v>
      </c>
      <c r="CT79" s="3" t="str">
        <f t="shared" si="33"/>
        <v xml:space="preserve">energetsko upravljanje, manjši investicijski in organizacijski ukrepi, </v>
      </c>
      <c r="CU79" s="9">
        <f t="shared" si="2"/>
        <v>5734.5</v>
      </c>
      <c r="CV79" s="9">
        <f t="shared" ref="CV79:CX79" si="50">+CU79</f>
        <v>5734.5</v>
      </c>
      <c r="CW79" s="9">
        <f t="shared" si="50"/>
        <v>5734.5</v>
      </c>
      <c r="CX79" s="69">
        <f t="shared" si="50"/>
        <v>5734.5</v>
      </c>
    </row>
    <row r="80" spans="1:102" s="10" customFormat="1" ht="18" hidden="1" customHeight="1">
      <c r="A80" s="53" t="s">
        <v>557</v>
      </c>
      <c r="B80" s="2" t="s">
        <v>558</v>
      </c>
      <c r="C80" s="57"/>
      <c r="D80" s="57"/>
      <c r="E80" s="51" t="s">
        <v>1175</v>
      </c>
      <c r="F80" s="51"/>
      <c r="G80" s="51">
        <v>3</v>
      </c>
      <c r="H80" s="51"/>
      <c r="I80" s="51"/>
      <c r="J80" s="51">
        <v>7</v>
      </c>
      <c r="K80" s="37" t="s">
        <v>1243</v>
      </c>
      <c r="L80" s="50"/>
      <c r="M80" s="4" t="s">
        <v>5</v>
      </c>
      <c r="N80" s="25">
        <v>584</v>
      </c>
      <c r="O80" s="25"/>
      <c r="P80" s="25"/>
      <c r="Q80" s="25"/>
      <c r="R80" s="25"/>
      <c r="S80" s="25"/>
      <c r="T80" s="25">
        <v>90.343000000000004</v>
      </c>
      <c r="U80" s="25">
        <v>674.34299999999996</v>
      </c>
      <c r="V80" s="30">
        <v>22.993891575464495</v>
      </c>
      <c r="W80" s="30">
        <v>148.63833036396031</v>
      </c>
      <c r="X80" s="31"/>
      <c r="Y80" s="31"/>
      <c r="Z80" s="31"/>
      <c r="AA80" s="31"/>
      <c r="AB80" s="31"/>
      <c r="AC80" s="31"/>
      <c r="AD80" s="31"/>
      <c r="AE80" s="32"/>
      <c r="AF80" s="16" t="s">
        <v>559</v>
      </c>
      <c r="AG80" s="3">
        <v>1990</v>
      </c>
      <c r="AH80" s="4"/>
      <c r="AI80" s="6">
        <v>3929</v>
      </c>
      <c r="AJ80" s="38">
        <v>100</v>
      </c>
      <c r="AK80" s="3"/>
      <c r="AL80" s="1" t="s">
        <v>560</v>
      </c>
      <c r="AM80" s="37">
        <f>513.21+52.1</f>
        <v>565.31000000000006</v>
      </c>
      <c r="AN80" s="37">
        <f>459.9+44</f>
        <v>503.9</v>
      </c>
      <c r="AO80" s="37">
        <f>447.44+45.3</f>
        <v>492.74</v>
      </c>
      <c r="AP80" s="37">
        <f>364.9+31.5</f>
        <v>396.4</v>
      </c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>
        <v>94.5</v>
      </c>
      <c r="BD80" s="37">
        <v>96.1</v>
      </c>
      <c r="BE80" s="37">
        <v>86.8</v>
      </c>
      <c r="BF80" s="37">
        <v>79.5</v>
      </c>
      <c r="BG80" s="42">
        <v>489.58749999999998</v>
      </c>
      <c r="BH80" s="42"/>
      <c r="BI80" s="42"/>
      <c r="BJ80" s="42"/>
      <c r="BK80" s="44">
        <v>489.58749999999998</v>
      </c>
      <c r="BL80" s="44">
        <v>89.224999999999994</v>
      </c>
      <c r="BM80" s="44">
        <f>+BK80+BL80</f>
        <v>578.8125</v>
      </c>
      <c r="BN80" s="47">
        <v>124.60867905319419</v>
      </c>
      <c r="BO80" s="47">
        <v>22.709340799185544</v>
      </c>
      <c r="BP80" s="45">
        <v>147.31801985237973</v>
      </c>
      <c r="BQ80" s="9">
        <v>3929</v>
      </c>
      <c r="BR80" s="4">
        <v>650</v>
      </c>
      <c r="BS80" s="4">
        <v>2012</v>
      </c>
      <c r="BT80" s="4" t="s">
        <v>872</v>
      </c>
      <c r="BU80" s="4" t="s">
        <v>919</v>
      </c>
      <c r="BV80" s="4" t="s">
        <v>935</v>
      </c>
      <c r="BW80" s="4" t="s">
        <v>1057</v>
      </c>
      <c r="BX80" s="4"/>
      <c r="BY80" s="9">
        <f>+INT(BK80*faktorji!$B$3)</f>
        <v>31823</v>
      </c>
      <c r="BZ80" s="9">
        <f>+INT(BL80*faktorji!$B$4)</f>
        <v>14722</v>
      </c>
      <c r="CA80" s="4"/>
      <c r="CB80" s="4">
        <v>0</v>
      </c>
      <c r="CC80" s="4">
        <v>1</v>
      </c>
      <c r="CD80" s="4">
        <v>1</v>
      </c>
      <c r="CE80" s="4">
        <v>0.5</v>
      </c>
      <c r="CF80" s="4">
        <v>0</v>
      </c>
      <c r="CG80" s="4">
        <v>1</v>
      </c>
      <c r="CH80" s="4">
        <v>1</v>
      </c>
      <c r="CI80" s="9">
        <f>+BQ80*(CB80*faktorji!$B$21+'MOL_tabela rezultatov'!CF209*faktorji!$B$23+'MOL_tabela rezultatov'!CH209*faktorji!$B$26)+faktorji!$B$27*CG80</f>
        <v>82828.5</v>
      </c>
      <c r="CJ80" s="9">
        <f>+(BZ80*CF80*faktorji!$B$18)+(CG80*faktorji!$B$17*('MOL_tabela rezultatov'!BY209+'MOL_tabela rezultatov'!BZ209))+('MOL_tabela rezultatov'!CH209*faktorji!$B$16*'MOL_tabela rezultatov'!BY209)+('MOL_tabela rezultatov'!CB209*faktorji!$B$12*'MOL_tabela rezultatov'!BY209)</f>
        <v>5045</v>
      </c>
      <c r="CK80" s="66">
        <f>+CI80/CJ80</f>
        <v>16.417938553022793</v>
      </c>
      <c r="CL80" s="3" t="str">
        <f>CONCATENATE(IF(CB80&gt;0,"kotlovnica/toplotna postaja, ",""),IF(CF80&gt;0,"razsvetljava, ",""),IF(CG80&gt;0,"energetsko upravljanje, ",""),IF(CH80&gt;0,"manjši investicijski in organizacijski ukrepi, ",""))</f>
        <v xml:space="preserve">energetsko upravljanje, manjši investicijski in organizacijski ukrepi, </v>
      </c>
      <c r="CM80" s="9">
        <f>+CJ80*0.9</f>
        <v>4540.5</v>
      </c>
      <c r="CN80" s="9">
        <f>+CJ80*0.9</f>
        <v>4540.5</v>
      </c>
      <c r="CO80" s="9">
        <f>+CJ80*0.9</f>
        <v>4540.5</v>
      </c>
      <c r="CP80" s="69">
        <f>+IF(CI80-SUM(CM80:CO80)&lt;0,0,CI80-SUM(CM80:CO80))</f>
        <v>69207</v>
      </c>
      <c r="CQ80" s="9">
        <f>+(BQ80*CE80*faktorji!$B$24)+(BQ80^0.5*CC80*4*4*0.66*faktorji!$B$22)+(BQ80^0.5*CD80*4*4*0.33*faktorji!$B$25)</f>
        <v>168364.23031170861</v>
      </c>
      <c r="CR80" s="3" t="str">
        <f t="shared" si="35"/>
        <v xml:space="preserve">izolacija ovoja, stavbno pohištvo, izolacija podstrešja, </v>
      </c>
      <c r="CS80" s="9">
        <f>+BQ80*('MOL_tabela rezultatov'!CH80*faktorji!$B$26)+faktorji!$B$27*CG80</f>
        <v>23893.5</v>
      </c>
      <c r="CT80" s="3" t="str">
        <f t="shared" si="33"/>
        <v xml:space="preserve">energetsko upravljanje, manjši investicijski in organizacijski ukrepi, </v>
      </c>
      <c r="CU80" s="9">
        <f t="shared" si="2"/>
        <v>5973.375</v>
      </c>
      <c r="CV80" s="9">
        <f t="shared" ref="CV80:CX80" si="51">+CU80</f>
        <v>5973.375</v>
      </c>
      <c r="CW80" s="9">
        <f t="shared" si="51"/>
        <v>5973.375</v>
      </c>
      <c r="CX80" s="69">
        <f t="shared" si="51"/>
        <v>5973.375</v>
      </c>
    </row>
    <row r="81" spans="1:102" s="10" customFormat="1" ht="18" customHeight="1">
      <c r="A81" s="117" t="s">
        <v>449</v>
      </c>
      <c r="B81" s="146" t="s">
        <v>450</v>
      </c>
      <c r="C81" s="57"/>
      <c r="D81" s="57"/>
      <c r="E81" s="51" t="s">
        <v>1175</v>
      </c>
      <c r="F81" s="51"/>
      <c r="G81" s="51">
        <v>2</v>
      </c>
      <c r="H81" s="51" t="s">
        <v>1250</v>
      </c>
      <c r="I81" s="51"/>
      <c r="J81" s="51">
        <v>2</v>
      </c>
      <c r="K81" s="37" t="s">
        <v>1244</v>
      </c>
      <c r="L81" s="50"/>
      <c r="M81" s="4" t="s">
        <v>6</v>
      </c>
      <c r="N81" s="25"/>
      <c r="O81" s="25">
        <v>756.5</v>
      </c>
      <c r="P81" s="25"/>
      <c r="Q81" s="25"/>
      <c r="R81" s="25"/>
      <c r="S81" s="25"/>
      <c r="T81" s="25">
        <v>140.33799999999999</v>
      </c>
      <c r="U81" s="25">
        <v>896.83799999999997</v>
      </c>
      <c r="V81" s="30">
        <v>26.027077151335313</v>
      </c>
      <c r="W81" s="30">
        <v>140.30044510385756</v>
      </c>
      <c r="X81" s="31"/>
      <c r="Y81" s="31"/>
      <c r="Z81" s="31"/>
      <c r="AA81" s="31"/>
      <c r="AB81" s="31"/>
      <c r="AC81" s="31"/>
      <c r="AD81" s="31"/>
      <c r="AE81" s="32"/>
      <c r="AF81" s="16" t="s">
        <v>451</v>
      </c>
      <c r="AG81" s="3">
        <v>1990</v>
      </c>
      <c r="AH81" s="4"/>
      <c r="AI81" s="6">
        <v>5392</v>
      </c>
      <c r="AJ81" s="38">
        <v>100</v>
      </c>
      <c r="AK81" s="3"/>
      <c r="AL81" s="1" t="s">
        <v>452</v>
      </c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>
        <v>141.55000000000001</v>
      </c>
      <c r="BD81" s="37">
        <v>140.12</v>
      </c>
      <c r="BE81" s="37">
        <v>135.21</v>
      </c>
      <c r="BF81" s="37">
        <v>144.16</v>
      </c>
      <c r="BG81" s="42"/>
      <c r="BH81" s="42">
        <v>801.55</v>
      </c>
      <c r="BI81" s="42"/>
      <c r="BJ81" s="42"/>
      <c r="BK81" s="44">
        <v>801.55</v>
      </c>
      <c r="BL81" s="44">
        <v>140.26</v>
      </c>
      <c r="BM81" s="44">
        <f>+BK81+BL81</f>
        <v>941.81</v>
      </c>
      <c r="BN81" s="47">
        <v>186.92863805970148</v>
      </c>
      <c r="BO81" s="47">
        <v>32.709888059701491</v>
      </c>
      <c r="BP81" s="45">
        <v>219.638526119403</v>
      </c>
      <c r="BQ81" s="6">
        <v>4288</v>
      </c>
      <c r="BR81" s="4" t="s">
        <v>451</v>
      </c>
      <c r="BS81" s="4">
        <v>1990</v>
      </c>
      <c r="BT81" s="4" t="s">
        <v>872</v>
      </c>
      <c r="BU81" s="4"/>
      <c r="BV81" s="4" t="s">
        <v>1013</v>
      </c>
      <c r="BW81" s="4" t="s">
        <v>874</v>
      </c>
      <c r="BX81" s="4"/>
      <c r="BY81" s="9">
        <f>+INT(BK81*faktorji!$B$5)</f>
        <v>76147</v>
      </c>
      <c r="BZ81" s="9">
        <f>+INT(BL81*faktorji!$B$4)</f>
        <v>23142</v>
      </c>
      <c r="CA81" s="3" t="s">
        <v>1303</v>
      </c>
      <c r="CB81" s="4">
        <v>1</v>
      </c>
      <c r="CC81" s="4">
        <v>1</v>
      </c>
      <c r="CD81" s="4">
        <v>1</v>
      </c>
      <c r="CE81" s="4">
        <v>0</v>
      </c>
      <c r="CF81" s="4">
        <v>0</v>
      </c>
      <c r="CG81" s="4">
        <v>1</v>
      </c>
      <c r="CH81" s="4">
        <v>0</v>
      </c>
      <c r="CI81" s="9">
        <f>+BQ81*(CB81*faktorji!$B$21+'MOL_tabela rezultatov'!CF176*faktorji!$B$23+'MOL_tabela rezultatov'!CH176*faktorji!$B$26)+faktorji!$B$27*CG81</f>
        <v>153072</v>
      </c>
      <c r="CJ81" s="9">
        <f>+(BZ81*CF81*faktorji!$B$18)+(CG81*faktorji!$B$17*('MOL_tabela rezultatov'!BY176+'MOL_tabela rezultatov'!BZ176))+('MOL_tabela rezultatov'!CH176*faktorji!$B$16*'MOL_tabela rezultatov'!BY176)+('MOL_tabela rezultatov'!CB176*faktorji!$B$12*'MOL_tabela rezultatov'!BY176)</f>
        <v>9745.6</v>
      </c>
      <c r="CK81" s="66">
        <f>+CI81/CJ81</f>
        <v>15.706780495813495</v>
      </c>
      <c r="CL81" s="3" t="str">
        <f>CONCATENATE(IF(CB81&gt;0,"kotlovnica/toplotna postaja, ",""),IF(CF81&gt;0,"razsvetljava, ",""),IF(CG81&gt;0,"energetsko upravljanje, ",""),IF(CH81&gt;0,"manjši investicijski in organizacijski ukrepi, ",""))</f>
        <v xml:space="preserve">kotlovnica/toplotna postaja, energetsko upravljanje, </v>
      </c>
      <c r="CM81" s="9">
        <f>+CJ81*0.9</f>
        <v>8771.0400000000009</v>
      </c>
      <c r="CN81" s="9">
        <f>+CJ81*0.9</f>
        <v>8771.0400000000009</v>
      </c>
      <c r="CO81" s="9">
        <f>+CJ81*0.9</f>
        <v>8771.0400000000009</v>
      </c>
      <c r="CP81" s="69">
        <f>+IF(CI81-SUM(CM81:CO81)&lt;0,0,CI81-SUM(CM81:CO81))</f>
        <v>126758.88</v>
      </c>
      <c r="CQ81" s="9">
        <f>+(BQ81*CE81*faktorji!$B$24)+(BQ81^0.5*CC81*4*4*0.66*faktorji!$B$22)+(BQ81^0.5*CD81*4*4*0.33*faktorji!$B$25)</f>
        <v>134842.22742271799</v>
      </c>
      <c r="CR81" s="3" t="str">
        <f t="shared" si="35"/>
        <v xml:space="preserve">izolacija ovoja, stavbno pohištvo, </v>
      </c>
      <c r="CS81" s="9">
        <f>+BQ81*('MOL_tabela rezultatov'!CH81*faktorji!$B$26)+faktorji!$B$27*CG81</f>
        <v>18000</v>
      </c>
      <c r="CT81" s="3" t="str">
        <f t="shared" si="33"/>
        <v xml:space="preserve">energetsko upravljanje, </v>
      </c>
      <c r="CU81" s="9">
        <f t="shared" si="2"/>
        <v>4500</v>
      </c>
      <c r="CV81" s="9">
        <f t="shared" ref="CV81:CX81" si="52">+CU81</f>
        <v>4500</v>
      </c>
      <c r="CW81" s="9">
        <f t="shared" si="52"/>
        <v>4500</v>
      </c>
      <c r="CX81" s="69">
        <f t="shared" si="52"/>
        <v>4500</v>
      </c>
    </row>
    <row r="82" spans="1:102" s="10" customFormat="1" ht="18" hidden="1" customHeight="1">
      <c r="A82" s="53" t="s">
        <v>522</v>
      </c>
      <c r="B82" s="2" t="s">
        <v>523</v>
      </c>
      <c r="C82" s="57"/>
      <c r="D82" s="57"/>
      <c r="E82" s="51" t="s">
        <v>1175</v>
      </c>
      <c r="F82" s="51"/>
      <c r="G82" s="51">
        <v>3</v>
      </c>
      <c r="H82" s="51"/>
      <c r="I82" s="51"/>
      <c r="J82" s="51">
        <v>7</v>
      </c>
      <c r="K82" s="37" t="s">
        <v>1243</v>
      </c>
      <c r="L82" s="50"/>
      <c r="M82" s="4" t="s">
        <v>5</v>
      </c>
      <c r="N82" s="28">
        <v>520</v>
      </c>
      <c r="O82" s="25"/>
      <c r="P82" s="25"/>
      <c r="Q82" s="25"/>
      <c r="R82" s="25"/>
      <c r="S82" s="25"/>
      <c r="T82" s="25">
        <v>241.667</v>
      </c>
      <c r="U82" s="25">
        <v>761.66700000000003</v>
      </c>
      <c r="V82" s="30">
        <v>60.41675</v>
      </c>
      <c r="W82" s="30">
        <v>130</v>
      </c>
      <c r="X82" s="31"/>
      <c r="Y82" s="31"/>
      <c r="Z82" s="31"/>
      <c r="AA82" s="31"/>
      <c r="AB82" s="31"/>
      <c r="AC82" s="31"/>
      <c r="AD82" s="31"/>
      <c r="AE82" s="32"/>
      <c r="AF82" s="16" t="s">
        <v>472</v>
      </c>
      <c r="AG82" s="3" t="s">
        <v>472</v>
      </c>
      <c r="AH82" s="4"/>
      <c r="AI82" s="6">
        <v>4000</v>
      </c>
      <c r="AJ82" s="38">
        <v>100</v>
      </c>
      <c r="AK82" s="3"/>
      <c r="AL82" s="1" t="s">
        <v>421</v>
      </c>
      <c r="AM82" s="39">
        <v>453.78</v>
      </c>
      <c r="AN82" s="39">
        <v>431.7</v>
      </c>
      <c r="AO82" s="39">
        <v>395.96</v>
      </c>
      <c r="AP82" s="39">
        <v>403.9</v>
      </c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>
        <v>66.959999999999994</v>
      </c>
      <c r="BD82" s="37">
        <v>69.64</v>
      </c>
      <c r="BE82" s="37">
        <v>62.84</v>
      </c>
      <c r="BF82" s="37">
        <v>66</v>
      </c>
      <c r="BG82" s="42">
        <v>421.33500000000004</v>
      </c>
      <c r="BH82" s="42"/>
      <c r="BI82" s="42"/>
      <c r="BJ82" s="42"/>
      <c r="BK82" s="44">
        <v>421.33500000000004</v>
      </c>
      <c r="BL82" s="44">
        <v>66.36</v>
      </c>
      <c r="BM82" s="44">
        <f>+BK82+BL82</f>
        <v>487.69500000000005</v>
      </c>
      <c r="BN82" s="47">
        <v>95.540816326530631</v>
      </c>
      <c r="BO82" s="47">
        <v>15.047619047619047</v>
      </c>
      <c r="BP82" s="45">
        <v>110.58843537414967</v>
      </c>
      <c r="BQ82" s="9">
        <v>4410</v>
      </c>
      <c r="BR82" s="4">
        <v>666</v>
      </c>
      <c r="BS82" s="4">
        <v>1993</v>
      </c>
      <c r="BT82" s="4" t="s">
        <v>872</v>
      </c>
      <c r="BU82" s="4"/>
      <c r="BV82" s="4" t="s">
        <v>1042</v>
      </c>
      <c r="BW82" s="4"/>
      <c r="BX82" s="4"/>
      <c r="BY82" s="9">
        <f>+INT(BK82*faktorji!$B$3)</f>
        <v>27386</v>
      </c>
      <c r="BZ82" s="9">
        <f>+INT(BL82*faktorji!$B$4)</f>
        <v>10949</v>
      </c>
      <c r="CA82" s="4"/>
      <c r="CB82" s="4">
        <v>1</v>
      </c>
      <c r="CC82" s="4">
        <v>1</v>
      </c>
      <c r="CD82" s="4">
        <v>0.5</v>
      </c>
      <c r="CE82" s="4">
        <v>0</v>
      </c>
      <c r="CF82" s="4">
        <v>1</v>
      </c>
      <c r="CG82" s="4">
        <v>1</v>
      </c>
      <c r="CH82" s="4">
        <v>1</v>
      </c>
      <c r="CI82" s="9" t="e">
        <f>+BQ82*(CB82*faktorji!$B$21+'MOL_tabela rezultatov'!#REF!*faktorji!$B$23+'MOL_tabela rezultatov'!#REF!*faktorji!$B$26)+faktorji!$B$27*CG82</f>
        <v>#REF!</v>
      </c>
      <c r="CJ82" s="9" t="e">
        <f>+(BZ82*CF82*faktorji!$B$18)+(CG82*faktorji!$B$17*('MOL_tabela rezultatov'!#REF!+'MOL_tabela rezultatov'!#REF!))+('MOL_tabela rezultatov'!#REF!*faktorji!$B$16*'MOL_tabela rezultatov'!#REF!)+('MOL_tabela rezultatov'!#REF!*faktorji!$B$12*'MOL_tabela rezultatov'!#REF!)</f>
        <v>#REF!</v>
      </c>
      <c r="CK82" s="66" t="e">
        <f>+CI82/CJ82</f>
        <v>#REF!</v>
      </c>
      <c r="CL82" s="3" t="str">
        <f>CONCATENATE(IF(CB82&gt;0,"kotlovnica/toplotna postaja, ",""),IF(CF82&gt;0,"razsvetljava, ",""),IF(CG82&gt;0,"energetsko upravljanje, ",""),IF(CH82&gt;0,"manjši investicijski in organizacijski ukrepi, ",""))</f>
        <v xml:space="preserve">kotlovnica/toplotna postaja, razsvetljava, energetsko upravljanje, manjši investicijski in organizacijski ukrepi, </v>
      </c>
      <c r="CM82" s="9" t="e">
        <f>+CJ82*0.9</f>
        <v>#REF!</v>
      </c>
      <c r="CN82" s="9" t="e">
        <f>+CJ82*0.9</f>
        <v>#REF!</v>
      </c>
      <c r="CO82" s="9" t="e">
        <f>+CJ82*0.9</f>
        <v>#REF!</v>
      </c>
      <c r="CP82" s="69" t="e">
        <f>+IF(CI82-SUM(CM82:CO82)&lt;0,0,CI82-SUM(CM82:CO82))</f>
        <v>#REF!</v>
      </c>
      <c r="CQ82" s="9">
        <f>+(BQ82*CE82*faktorji!$B$24)+(BQ82^0.5*CC82*4*4*0.66*faktorji!$B$22)+(BQ82^0.5*CD82*4*4*0.33*faktorji!$B$25)</f>
        <v>92917.836944259529</v>
      </c>
      <c r="CR82" s="3" t="str">
        <f t="shared" si="35"/>
        <v xml:space="preserve">izolacija ovoja, stavbno pohištvo, </v>
      </c>
      <c r="CS82" s="9">
        <f>+BQ82*('MOL_tabela rezultatov'!CH82*faktorji!$B$26)+faktorji!$B$27*CG82</f>
        <v>24615</v>
      </c>
      <c r="CT82" s="3" t="str">
        <f t="shared" si="33"/>
        <v xml:space="preserve">energetsko upravljanje, manjši investicijski in organizacijski ukrepi, </v>
      </c>
      <c r="CU82" s="9">
        <f t="shared" si="2"/>
        <v>6153.75</v>
      </c>
      <c r="CV82" s="9">
        <f t="shared" ref="CV82:CX82" si="53">+CU82</f>
        <v>6153.75</v>
      </c>
      <c r="CW82" s="9">
        <f t="shared" si="53"/>
        <v>6153.75</v>
      </c>
      <c r="CX82" s="69">
        <f t="shared" si="53"/>
        <v>6153.75</v>
      </c>
    </row>
    <row r="83" spans="1:102" s="10" customFormat="1" ht="18" hidden="1" customHeight="1">
      <c r="A83" s="53" t="s">
        <v>620</v>
      </c>
      <c r="B83" s="2" t="s">
        <v>621</v>
      </c>
      <c r="C83" s="57"/>
      <c r="D83" s="57"/>
      <c r="E83" s="51" t="s">
        <v>1176</v>
      </c>
      <c r="F83" s="51"/>
      <c r="G83" s="51">
        <v>3</v>
      </c>
      <c r="H83" s="51"/>
      <c r="I83" s="51"/>
      <c r="J83" s="51">
        <v>7</v>
      </c>
      <c r="K83" s="37" t="s">
        <v>1242</v>
      </c>
      <c r="L83" s="50"/>
      <c r="M83" s="4" t="s">
        <v>5</v>
      </c>
      <c r="N83" s="25"/>
      <c r="O83" s="25"/>
      <c r="P83" s="25"/>
      <c r="Q83" s="25"/>
      <c r="R83" s="25"/>
      <c r="S83" s="25">
        <v>177.80500000000001</v>
      </c>
      <c r="T83" s="25">
        <v>26.315096139375477</v>
      </c>
      <c r="U83" s="25">
        <v>26.315096139375477</v>
      </c>
      <c r="V83" s="30">
        <v>31.819946964178328</v>
      </c>
      <c r="W83" s="30">
        <v>215</v>
      </c>
      <c r="X83" s="31"/>
      <c r="Y83" s="31"/>
      <c r="Z83" s="31"/>
      <c r="AA83" s="31"/>
      <c r="AB83" s="31"/>
      <c r="AC83" s="31"/>
      <c r="AD83" s="31"/>
      <c r="AE83" s="32"/>
      <c r="AF83" s="16"/>
      <c r="AG83" s="3"/>
      <c r="AH83" s="4"/>
      <c r="AI83" s="6">
        <v>827</v>
      </c>
      <c r="AJ83" s="38">
        <v>100</v>
      </c>
      <c r="AK83" s="3"/>
      <c r="AL83" s="1" t="s">
        <v>619</v>
      </c>
      <c r="AM83" s="37">
        <f>125.2+95.1</f>
        <v>220.3</v>
      </c>
      <c r="AN83" s="37">
        <f>144.2+31.3</f>
        <v>175.5</v>
      </c>
      <c r="AO83" s="37">
        <f>116.3+6.1</f>
        <v>122.39999999999999</v>
      </c>
      <c r="AP83" s="37">
        <f>105.7+5.6</f>
        <v>111.3</v>
      </c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7"/>
      <c r="BG83" s="42">
        <v>157.375</v>
      </c>
      <c r="BH83" s="42">
        <v>14</v>
      </c>
      <c r="BI83" s="42"/>
      <c r="BJ83" s="42"/>
      <c r="BK83" s="44">
        <v>171.375</v>
      </c>
      <c r="BL83" s="44">
        <v>42.924999999999997</v>
      </c>
      <c r="BM83" s="44">
        <f>+BK83+BL83</f>
        <v>214.3</v>
      </c>
      <c r="BN83" s="47">
        <v>201.61764705882354</v>
      </c>
      <c r="BO83" s="47">
        <v>50.5</v>
      </c>
      <c r="BP83" s="45">
        <v>252.11764705882354</v>
      </c>
      <c r="BQ83" s="9">
        <v>850</v>
      </c>
      <c r="BR83" s="4" t="s">
        <v>881</v>
      </c>
      <c r="BS83" s="4">
        <v>2010</v>
      </c>
      <c r="BT83" s="4" t="s">
        <v>431</v>
      </c>
      <c r="BU83" s="4"/>
      <c r="BV83" s="4" t="s">
        <v>871</v>
      </c>
      <c r="BW83" s="1" t="s">
        <v>883</v>
      </c>
      <c r="BX83" s="4"/>
      <c r="BY83" s="9">
        <f>+INT(BK83*faktorji!$B$3)</f>
        <v>11139</v>
      </c>
      <c r="BZ83" s="9">
        <f>+INT(BL83*faktorji!$B$4)</f>
        <v>7082</v>
      </c>
      <c r="CA83" s="4"/>
      <c r="CB83" s="4">
        <v>0</v>
      </c>
      <c r="CC83" s="4">
        <v>1</v>
      </c>
      <c r="CD83" s="4">
        <v>0</v>
      </c>
      <c r="CE83" s="4">
        <v>0</v>
      </c>
      <c r="CF83" s="4">
        <v>0</v>
      </c>
      <c r="CG83" s="4">
        <v>1</v>
      </c>
      <c r="CH83" s="4">
        <v>1</v>
      </c>
      <c r="CI83" s="9">
        <f>+BQ83*(CB83*faktorji!$B$21+'MOL_tabela rezultatov'!CF227*faktorji!$B$23+'MOL_tabela rezultatov'!CH227*faktorji!$B$26)+faktorji!$B$27*CG83</f>
        <v>19275</v>
      </c>
      <c r="CJ83" s="9">
        <f>+(BZ83*CF83*faktorji!$B$18)+(CG83*faktorji!$B$17*('MOL_tabela rezultatov'!BY227+'MOL_tabela rezultatov'!BZ227))+('MOL_tabela rezultatov'!CH227*faktorji!$B$16*'MOL_tabela rezultatov'!BY227)+('MOL_tabela rezultatov'!CB227*faktorji!$B$12*'MOL_tabela rezultatov'!BY227)</f>
        <v>1490.8000000000002</v>
      </c>
      <c r="CK83" s="66">
        <f>+CI83/CJ83</f>
        <v>12.929299704856451</v>
      </c>
      <c r="CL83" s="3" t="str">
        <f>CONCATENATE(IF(CB83&gt;0,"kotlovnica/toplotna postaja, ",""),IF(CF83&gt;0,"razsvetljava, ",""),IF(CG83&gt;0,"energetsko upravljanje, ",""),IF(CH83&gt;0,"manjši investicijski in organizacijski ukrepi, ",""))</f>
        <v xml:space="preserve">energetsko upravljanje, manjši investicijski in organizacijski ukrepi, </v>
      </c>
      <c r="CM83" s="9">
        <f>+CJ83*0.9</f>
        <v>1341.7200000000003</v>
      </c>
      <c r="CN83" s="9">
        <f>+CJ83*0.9</f>
        <v>1341.7200000000003</v>
      </c>
      <c r="CO83" s="9">
        <f>+CJ83*0.9</f>
        <v>1341.7200000000003</v>
      </c>
      <c r="CP83" s="69">
        <f>+IF(CI83-SUM(CM83:CO83)&lt;0,0,CI83-SUM(CM83:CO83))</f>
        <v>15249.84</v>
      </c>
      <c r="CQ83" s="9">
        <f>+(BQ83*CE83*faktorji!$B$24)+(BQ83^0.5*CC83*4*4*0.66*faktorji!$B$22)+(BQ83^0.5*CD83*4*4*0.33*faktorji!$B$25)</f>
        <v>21551.198203348231</v>
      </c>
      <c r="CR83" s="3" t="str">
        <f t="shared" si="35"/>
        <v xml:space="preserve">izolacija ovoja, </v>
      </c>
      <c r="CS83" s="9">
        <f>+BQ83*('MOL_tabela rezultatov'!CH83*faktorji!$B$26)+faktorji!$B$27*CG83</f>
        <v>19275</v>
      </c>
      <c r="CT83" s="3" t="str">
        <f t="shared" si="33"/>
        <v xml:space="preserve">energetsko upravljanje, manjši investicijski in organizacijski ukrepi, </v>
      </c>
      <c r="CU83" s="9">
        <f t="shared" si="2"/>
        <v>4818.75</v>
      </c>
      <c r="CV83" s="9">
        <f t="shared" ref="CV83:CX83" si="54">+CU83</f>
        <v>4818.75</v>
      </c>
      <c r="CW83" s="9">
        <f t="shared" si="54"/>
        <v>4818.75</v>
      </c>
      <c r="CX83" s="69">
        <f t="shared" si="54"/>
        <v>4818.75</v>
      </c>
    </row>
    <row r="84" spans="1:102" s="10" customFormat="1" ht="18" customHeight="1">
      <c r="A84" s="118" t="s">
        <v>491</v>
      </c>
      <c r="B84" s="147" t="s">
        <v>492</v>
      </c>
      <c r="C84" s="56"/>
      <c r="D84" s="56"/>
      <c r="E84" s="51" t="s">
        <v>1175</v>
      </c>
      <c r="F84" s="51"/>
      <c r="G84" s="51">
        <v>2</v>
      </c>
      <c r="H84" s="51" t="s">
        <v>1250</v>
      </c>
      <c r="I84" s="51"/>
      <c r="J84" s="51">
        <v>2</v>
      </c>
      <c r="K84" s="37" t="s">
        <v>1244</v>
      </c>
      <c r="L84" s="50"/>
      <c r="M84" s="4" t="s">
        <v>5</v>
      </c>
      <c r="N84" s="25"/>
      <c r="O84" s="25"/>
      <c r="P84" s="25"/>
      <c r="Q84" s="25"/>
      <c r="R84" s="25"/>
      <c r="S84" s="25">
        <v>608.6253639274039</v>
      </c>
      <c r="T84" s="25">
        <v>106.46131275066753</v>
      </c>
      <c r="U84" s="25">
        <v>106.46131275066753</v>
      </c>
      <c r="V84" s="30">
        <v>24.718205885922341</v>
      </c>
      <c r="W84" s="30">
        <v>141.31074156661342</v>
      </c>
      <c r="X84" s="31"/>
      <c r="Y84" s="31"/>
      <c r="Z84" s="31"/>
      <c r="AA84" s="31"/>
      <c r="AB84" s="31"/>
      <c r="AC84" s="31"/>
      <c r="AD84" s="31"/>
      <c r="AE84" s="32"/>
      <c r="AF84" s="16" t="s">
        <v>431</v>
      </c>
      <c r="AG84" s="3"/>
      <c r="AH84" s="4"/>
      <c r="AI84" s="6">
        <v>4307</v>
      </c>
      <c r="AJ84" s="38">
        <v>100</v>
      </c>
      <c r="AK84" s="3"/>
      <c r="AL84" s="1" t="s">
        <v>493</v>
      </c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7"/>
      <c r="BG84" s="42">
        <v>855.7</v>
      </c>
      <c r="BH84" s="42">
        <v>38.6</v>
      </c>
      <c r="BI84" s="42"/>
      <c r="BJ84" s="42"/>
      <c r="BK84" s="44">
        <v>894.30000000000007</v>
      </c>
      <c r="BL84" s="44">
        <v>96.907499999999999</v>
      </c>
      <c r="BM84" s="44">
        <f>+BK84+BL84</f>
        <v>991.2075000000001</v>
      </c>
      <c r="BN84" s="47">
        <v>207.6387276526585</v>
      </c>
      <c r="BO84" s="47">
        <v>22.5</v>
      </c>
      <c r="BP84" s="45">
        <v>230.1387276526585</v>
      </c>
      <c r="BQ84" s="9">
        <v>4307</v>
      </c>
      <c r="BR84" s="4">
        <v>864</v>
      </c>
      <c r="BS84" s="4">
        <v>1988</v>
      </c>
      <c r="BT84" s="4" t="s">
        <v>872</v>
      </c>
      <c r="BU84" s="4"/>
      <c r="BV84" s="4" t="s">
        <v>921</v>
      </c>
      <c r="BW84" s="4" t="s">
        <v>1028</v>
      </c>
      <c r="BX84" s="4" t="s">
        <v>1029</v>
      </c>
      <c r="BY84" s="9">
        <f>+INT(BK84*faktorji!$B$3)</f>
        <v>58129</v>
      </c>
      <c r="BZ84" s="9">
        <f>+INT(BL84*faktorji!$B$4)</f>
        <v>15989</v>
      </c>
      <c r="CA84" s="3" t="s">
        <v>1307</v>
      </c>
      <c r="CB84" s="4">
        <v>1</v>
      </c>
      <c r="CC84" s="4">
        <v>1</v>
      </c>
      <c r="CD84" s="4">
        <v>0</v>
      </c>
      <c r="CE84" s="4">
        <v>0</v>
      </c>
      <c r="CF84" s="4">
        <v>1</v>
      </c>
      <c r="CG84" s="4">
        <v>1</v>
      </c>
      <c r="CH84" s="4">
        <v>1</v>
      </c>
      <c r="CI84" s="9">
        <f>+BQ84*(CB84*faktorji!$B$21+'MOL_tabela rezultatov'!CF188*faktorji!$B$23+'MOL_tabela rezultatov'!CH188*faktorji!$B$26)+faktorji!$B$27*CG84</f>
        <v>153670.5</v>
      </c>
      <c r="CJ84" s="9">
        <f>+(BZ84*CF84*faktorji!$B$18)+(CG84*faktorji!$B$17*('MOL_tabela rezultatov'!BY188+'MOL_tabela rezultatov'!BZ188))+('MOL_tabela rezultatov'!CH188*faktorji!$B$16*'MOL_tabela rezultatov'!BY188)+('MOL_tabela rezultatov'!CB188*faktorji!$B$12*'MOL_tabela rezultatov'!BY188)</f>
        <v>15688.95</v>
      </c>
      <c r="CK84" s="66">
        <f>+CI84/CJ84</f>
        <v>9.7948237453749289</v>
      </c>
      <c r="CL84" s="3" t="str">
        <f>CONCATENATE(IF(CB84&gt;0,"kotlovnica/toplotna postaja, ",""),IF(CF84&gt;0,"razsvetljava, ",""),IF(CG84&gt;0,"energetsko upravljanje, ",""),IF(CH84&gt;0,"manjši investicijski in organizacijski ukrepi, ",""))</f>
        <v xml:space="preserve">kotlovnica/toplotna postaja, razsvetljava, energetsko upravljanje, manjši investicijski in organizacijski ukrepi, </v>
      </c>
      <c r="CM84" s="9">
        <f>+CJ84*0.9</f>
        <v>14120.055</v>
      </c>
      <c r="CN84" s="9">
        <f>+CJ84*0.9</f>
        <v>14120.055</v>
      </c>
      <c r="CO84" s="9">
        <f>+CJ84*0.9</f>
        <v>14120.055</v>
      </c>
      <c r="CP84" s="69">
        <f>+IF(CI84-SUM(CM84:CO84)&lt;0,0,CI84-SUM(CM84:CO84))</f>
        <v>111310.33499999999</v>
      </c>
      <c r="CQ84" s="9">
        <f>+(BQ84*CE84*faktorji!$B$24)+(BQ84^0.5*CC84*4*4*0.66*faktorji!$B$22)+(BQ84^0.5*CD84*4*4*0.33*faktorji!$B$25)</f>
        <v>48512.023957777725</v>
      </c>
      <c r="CR84" s="3" t="str">
        <f t="shared" si="35"/>
        <v xml:space="preserve">izolacija ovoja, </v>
      </c>
      <c r="CS84" s="9">
        <f>+BQ84*('MOL_tabela rezultatov'!CH84*faktorji!$B$26)+faktorji!$B$27*CG84</f>
        <v>24460.5</v>
      </c>
      <c r="CT84" s="3" t="str">
        <f t="shared" si="33"/>
        <v xml:space="preserve">energetsko upravljanje, manjši investicijski in organizacijski ukrepi, </v>
      </c>
      <c r="CU84" s="9">
        <f t="shared" si="2"/>
        <v>6115.125</v>
      </c>
      <c r="CV84" s="9">
        <f t="shared" ref="CV84:CX84" si="55">+CU84</f>
        <v>6115.125</v>
      </c>
      <c r="CW84" s="9">
        <f t="shared" si="55"/>
        <v>6115.125</v>
      </c>
      <c r="CX84" s="69">
        <f t="shared" si="55"/>
        <v>6115.125</v>
      </c>
    </row>
    <row r="85" spans="1:102" s="10" customFormat="1" ht="18" hidden="1" customHeight="1">
      <c r="A85" s="145" t="s">
        <v>1448</v>
      </c>
      <c r="B85" s="119" t="s">
        <v>1440</v>
      </c>
      <c r="C85" s="52"/>
      <c r="D85" s="52"/>
      <c r="E85" s="51" t="s">
        <v>1174</v>
      </c>
      <c r="F85" s="51"/>
      <c r="G85" s="51"/>
      <c r="H85" s="51"/>
      <c r="I85" s="51"/>
      <c r="J85" s="51"/>
      <c r="K85" s="37"/>
      <c r="L85" s="50"/>
      <c r="M85" s="4"/>
      <c r="N85" s="25"/>
      <c r="O85" s="25"/>
      <c r="P85" s="25"/>
      <c r="Q85" s="25"/>
      <c r="R85" s="25"/>
      <c r="S85" s="25"/>
      <c r="T85" s="25"/>
      <c r="U85" s="25"/>
      <c r="V85" s="30"/>
      <c r="W85" s="30"/>
      <c r="X85" s="31"/>
      <c r="Y85" s="31"/>
      <c r="Z85" s="31"/>
      <c r="AA85" s="31"/>
      <c r="AB85" s="31"/>
      <c r="AC85" s="31"/>
      <c r="AD85" s="31"/>
      <c r="AE85" s="32"/>
      <c r="AF85" s="1"/>
      <c r="AG85" s="4"/>
      <c r="AH85" s="4"/>
      <c r="AI85" s="6"/>
      <c r="AJ85" s="38"/>
      <c r="AK85" s="3"/>
      <c r="AL85" s="1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42"/>
      <c r="BH85" s="42"/>
      <c r="BI85" s="42"/>
      <c r="BJ85" s="42"/>
      <c r="BK85" s="44"/>
      <c r="BL85" s="44"/>
      <c r="BM85" s="44"/>
      <c r="BN85" s="47"/>
      <c r="BO85" s="47"/>
      <c r="BP85" s="45"/>
      <c r="BQ85" s="6"/>
      <c r="BR85" s="4"/>
      <c r="BS85" s="4"/>
      <c r="BT85" s="4"/>
      <c r="BU85" s="4"/>
      <c r="BV85" s="4"/>
      <c r="BW85" s="4"/>
      <c r="BX85" s="4"/>
      <c r="BY85" s="9"/>
      <c r="BZ85" s="9"/>
      <c r="CA85" s="4"/>
      <c r="CB85" s="4"/>
      <c r="CC85" s="4"/>
      <c r="CD85" s="4"/>
      <c r="CE85" s="4"/>
      <c r="CF85" s="4"/>
      <c r="CG85" s="4"/>
      <c r="CH85" s="4"/>
      <c r="CI85" s="9"/>
      <c r="CJ85" s="9"/>
      <c r="CK85" s="66"/>
      <c r="CL85" s="3"/>
      <c r="CM85" s="9"/>
      <c r="CN85" s="9"/>
      <c r="CO85" s="9"/>
      <c r="CP85" s="69"/>
      <c r="CQ85" s="9">
        <f>+(BQ85*CE85*faktorji!$B$24)+(BQ85^0.5*CC85*4*4*0.66*faktorji!$B$22)+(BQ85^0.5*CD85*4*4*0.33*faktorji!$B$25)</f>
        <v>0</v>
      </c>
      <c r="CR85" s="3" t="str">
        <f t="shared" si="35"/>
        <v/>
      </c>
      <c r="CS85" s="9">
        <f>+BQ85*('MOL_tabela rezultatov'!CH85*faktorji!$B$26)+faktorji!$B$27*CG85</f>
        <v>0</v>
      </c>
      <c r="CT85" s="3" t="str">
        <f t="shared" si="33"/>
        <v/>
      </c>
      <c r="CU85" s="9">
        <f t="shared" si="2"/>
        <v>0</v>
      </c>
      <c r="CV85" s="9">
        <f t="shared" ref="CV85:CX85" si="56">+CU85</f>
        <v>0</v>
      </c>
      <c r="CW85" s="9">
        <f t="shared" si="56"/>
        <v>0</v>
      </c>
      <c r="CX85" s="69">
        <f t="shared" si="56"/>
        <v>0</v>
      </c>
    </row>
    <row r="86" spans="1:102" s="10" customFormat="1" ht="18" hidden="1" customHeight="1">
      <c r="A86" s="54" t="s">
        <v>62</v>
      </c>
      <c r="B86" s="3" t="s">
        <v>63</v>
      </c>
      <c r="C86" s="56"/>
      <c r="D86" s="56"/>
      <c r="E86" s="51" t="s">
        <v>1168</v>
      </c>
      <c r="F86" s="51" t="s">
        <v>1255</v>
      </c>
      <c r="G86" s="51">
        <v>2</v>
      </c>
      <c r="H86" s="51"/>
      <c r="I86" s="51"/>
      <c r="J86" s="51">
        <v>4</v>
      </c>
      <c r="K86" s="37" t="s">
        <v>1241</v>
      </c>
      <c r="L86" s="50"/>
      <c r="M86" s="4" t="s">
        <v>5</v>
      </c>
      <c r="N86" s="25">
        <v>32.031386050562404</v>
      </c>
      <c r="O86" s="25"/>
      <c r="P86" s="25"/>
      <c r="Q86" s="25"/>
      <c r="R86" s="25"/>
      <c r="S86" s="25"/>
      <c r="T86" s="25">
        <v>17.53</v>
      </c>
      <c r="U86" s="25">
        <v>49.561386050562405</v>
      </c>
      <c r="V86" s="30">
        <v>92.26315789473685</v>
      </c>
      <c r="W86" s="30">
        <v>168.58624237138108</v>
      </c>
      <c r="X86" s="31"/>
      <c r="Y86" s="31"/>
      <c r="Z86" s="31"/>
      <c r="AA86" s="31"/>
      <c r="AB86" s="31"/>
      <c r="AC86" s="31">
        <v>18.95</v>
      </c>
      <c r="AD86" s="31"/>
      <c r="AE86" s="32">
        <v>0</v>
      </c>
      <c r="AF86" s="1"/>
      <c r="AG86" s="4"/>
      <c r="AH86" s="4" t="s">
        <v>64</v>
      </c>
      <c r="AI86" s="6">
        <v>190</v>
      </c>
      <c r="AJ86" s="38">
        <v>100</v>
      </c>
      <c r="AK86" s="3" t="s">
        <v>54</v>
      </c>
      <c r="AL86" s="1" t="s">
        <v>26</v>
      </c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42">
        <v>19.797999999999998</v>
      </c>
      <c r="BH86" s="42"/>
      <c r="BI86" s="42"/>
      <c r="BJ86" s="42"/>
      <c r="BK86" s="44">
        <v>19.797999999999998</v>
      </c>
      <c r="BL86" s="44">
        <v>17.53</v>
      </c>
      <c r="BM86" s="44">
        <f>+BK86+BL86</f>
        <v>37.328000000000003</v>
      </c>
      <c r="BN86" s="47">
        <v>104.2</v>
      </c>
      <c r="BO86" s="47">
        <v>92.263157894736835</v>
      </c>
      <c r="BP86" s="45">
        <v>196.46315789473684</v>
      </c>
      <c r="BQ86" s="9">
        <v>190</v>
      </c>
      <c r="BR86" s="4"/>
      <c r="BS86" s="4"/>
      <c r="BT86" s="4"/>
      <c r="BU86" s="4"/>
      <c r="BV86" s="4"/>
      <c r="BW86" s="4"/>
      <c r="BX86" s="4"/>
      <c r="BY86" s="9">
        <f>+INT(BK86*faktorji!$B$3)</f>
        <v>1286</v>
      </c>
      <c r="BZ86" s="9">
        <f>+INT(BL86*faktorji!$B$4)</f>
        <v>2892</v>
      </c>
      <c r="CA86" s="3" t="s">
        <v>1313</v>
      </c>
      <c r="CB86" s="4">
        <v>0</v>
      </c>
      <c r="CC86" s="4">
        <v>0</v>
      </c>
      <c r="CD86" s="4">
        <v>0</v>
      </c>
      <c r="CE86" s="4">
        <v>0</v>
      </c>
      <c r="CF86" s="4">
        <v>0</v>
      </c>
      <c r="CG86" s="4">
        <v>1</v>
      </c>
      <c r="CH86" s="4">
        <v>1</v>
      </c>
      <c r="CI86" s="9">
        <f>+BQ86*(CB86*faktorji!$B$21+'MOL_tabela rezultatov'!CF19*faktorji!$B$23+'MOL_tabela rezultatov'!CH19*faktorji!$B$26)+faktorji!$B$27*CG86</f>
        <v>21135</v>
      </c>
      <c r="CJ86" s="9">
        <f>+(BZ86*CF86*faktorji!$B$18)+(CG86*faktorji!$B$17*('MOL_tabela rezultatov'!BY19+'MOL_tabela rezultatov'!BZ19))+('MOL_tabela rezultatov'!CH19*faktorji!$B$16*'MOL_tabela rezultatov'!BY19)+('MOL_tabela rezultatov'!CB19*faktorji!$B$12*'MOL_tabela rezultatov'!BY19)</f>
        <v>249.70000000000002</v>
      </c>
      <c r="CK86" s="66">
        <f>+CI86/CJ86</f>
        <v>84.641569883860626</v>
      </c>
      <c r="CL86" s="3" t="str">
        <f>CONCATENATE(IF(CB86&gt;0,"kotlovnica/toplotna postaja, ",""),IF(CF86&gt;0,"razsvetljava, ",""),IF(CG86&gt;0,"energetsko upravljanje, ",""),IF(CH86&gt;0,"manjši investicijski in organizacijski ukrepi, ",""))</f>
        <v xml:space="preserve">energetsko upravljanje, manjši investicijski in organizacijski ukrepi, </v>
      </c>
      <c r="CM86" s="9">
        <f>+CJ86*0.9</f>
        <v>224.73000000000002</v>
      </c>
      <c r="CN86" s="9">
        <f>+CJ86*0.9</f>
        <v>224.73000000000002</v>
      </c>
      <c r="CO86" s="9">
        <f>+CJ86*0.9</f>
        <v>224.73000000000002</v>
      </c>
      <c r="CP86" s="69">
        <f>+IF(CI86-SUM(CM86:CO86)&lt;0,0,CI86-SUM(CM86:CO86))</f>
        <v>20460.810000000001</v>
      </c>
      <c r="CQ86" s="9">
        <f>+(BQ86*CE86*faktorji!$B$24)+(BQ86^0.5*CC86*4*4*0.66*faktorji!$B$22)+(BQ86^0.5*CD86*4*4*0.33*faktorji!$B$25)</f>
        <v>0</v>
      </c>
      <c r="CR86" s="3" t="str">
        <f t="shared" si="35"/>
        <v/>
      </c>
      <c r="CS86" s="9">
        <f>+BQ86*('MOL_tabela rezultatov'!CH86*faktorji!$B$26)+faktorji!$B$27*CG86</f>
        <v>18285</v>
      </c>
      <c r="CT86" s="3" t="str">
        <f t="shared" si="33"/>
        <v xml:space="preserve">energetsko upravljanje, manjši investicijski in organizacijski ukrepi, </v>
      </c>
      <c r="CU86" s="9">
        <f t="shared" si="2"/>
        <v>4571.25</v>
      </c>
      <c r="CV86" s="9">
        <f t="shared" ref="CV86:CX86" si="57">+CU86</f>
        <v>4571.25</v>
      </c>
      <c r="CW86" s="9">
        <f t="shared" si="57"/>
        <v>4571.25</v>
      </c>
      <c r="CX86" s="69">
        <f t="shared" si="57"/>
        <v>4571.25</v>
      </c>
    </row>
    <row r="87" spans="1:102" s="10" customFormat="1" ht="18" hidden="1" customHeight="1">
      <c r="A87" s="54" t="s">
        <v>160</v>
      </c>
      <c r="B87" s="3" t="s">
        <v>161</v>
      </c>
      <c r="C87" s="56"/>
      <c r="D87" s="56"/>
      <c r="E87" s="51" t="s">
        <v>1169</v>
      </c>
      <c r="F87" s="51"/>
      <c r="G87" s="51">
        <v>4</v>
      </c>
      <c r="H87" s="51"/>
      <c r="I87" s="51"/>
      <c r="J87" s="51">
        <v>6</v>
      </c>
      <c r="K87" s="37" t="s">
        <v>1242</v>
      </c>
      <c r="L87" s="50"/>
      <c r="M87" s="4" t="s">
        <v>6</v>
      </c>
      <c r="N87" s="25"/>
      <c r="O87" s="25">
        <v>142.2728210526316</v>
      </c>
      <c r="P87" s="25"/>
      <c r="Q87" s="25"/>
      <c r="R87" s="25"/>
      <c r="S87" s="25"/>
      <c r="T87" s="25">
        <v>56.103221052631575</v>
      </c>
      <c r="U87" s="25">
        <v>198.37604210526317</v>
      </c>
      <c r="V87" s="30">
        <v>45.835964912280694</v>
      </c>
      <c r="W87" s="30">
        <v>116.23596491228072</v>
      </c>
      <c r="X87" s="31"/>
      <c r="Y87" s="31"/>
      <c r="Z87" s="31"/>
      <c r="AA87" s="31"/>
      <c r="AB87" s="31"/>
      <c r="AC87" s="31"/>
      <c r="AD87" s="31"/>
      <c r="AE87" s="32"/>
      <c r="AF87" s="1"/>
      <c r="AG87" s="4"/>
      <c r="AH87" s="4"/>
      <c r="AI87" s="6">
        <v>1224</v>
      </c>
      <c r="AJ87" s="38"/>
      <c r="AK87" s="3"/>
      <c r="AL87" s="1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42"/>
      <c r="BH87" s="42">
        <v>34.382599999999996</v>
      </c>
      <c r="BI87" s="42"/>
      <c r="BJ87" s="42"/>
      <c r="BK87" s="44">
        <v>34.382599999999996</v>
      </c>
      <c r="BL87" s="44">
        <v>26.289199999999997</v>
      </c>
      <c r="BM87" s="44">
        <f>+BK87+BL87</f>
        <v>60.67179999999999</v>
      </c>
      <c r="BN87" s="47">
        <v>119.8</v>
      </c>
      <c r="BO87" s="47">
        <v>91.6</v>
      </c>
      <c r="BP87" s="45">
        <v>211.39999999999995</v>
      </c>
      <c r="BQ87" s="9">
        <v>287</v>
      </c>
      <c r="BR87" s="4"/>
      <c r="BS87" s="4"/>
      <c r="BT87" s="1" t="s">
        <v>1165</v>
      </c>
      <c r="BU87" s="4"/>
      <c r="BV87" s="4"/>
      <c r="BW87" s="4"/>
      <c r="BX87" s="4"/>
      <c r="BY87" s="9">
        <f>+INT(BK87*faktorji!$B$5)</f>
        <v>3266</v>
      </c>
      <c r="BZ87" s="9">
        <f>+INT(BL87*faktorji!$B$4)</f>
        <v>4337</v>
      </c>
      <c r="CA87" s="4"/>
      <c r="CB87" s="4">
        <v>0</v>
      </c>
      <c r="CC87" s="4">
        <v>0</v>
      </c>
      <c r="CD87" s="4">
        <v>0</v>
      </c>
      <c r="CE87" s="4">
        <v>0</v>
      </c>
      <c r="CF87" s="4">
        <v>1</v>
      </c>
      <c r="CG87" s="4">
        <v>1</v>
      </c>
      <c r="CH87" s="4">
        <v>1</v>
      </c>
      <c r="CI87" s="9" t="e">
        <f>+BQ87*(CB87*faktorji!$B$21+'MOL_tabela rezultatov'!#REF!*faktorji!$B$23+'MOL_tabela rezultatov'!#REF!*faktorji!$B$26)+faktorji!$B$27*CG87</f>
        <v>#REF!</v>
      </c>
      <c r="CJ87" s="9" t="e">
        <f>+(BZ87*CF87*faktorji!$B$18)+(CG87*faktorji!$B$17*('MOL_tabela rezultatov'!#REF!+'MOL_tabela rezultatov'!#REF!))+('MOL_tabela rezultatov'!#REF!*faktorji!$B$16*'MOL_tabela rezultatov'!#REF!)+('MOL_tabela rezultatov'!#REF!*faktorji!$B$12*'MOL_tabela rezultatov'!#REF!)</f>
        <v>#REF!</v>
      </c>
      <c r="CK87" s="66" t="e">
        <f>+CI87/CJ87</f>
        <v>#REF!</v>
      </c>
      <c r="CL87" s="3" t="str">
        <f>CONCATENATE(IF(CB87&gt;0,"kotlovnica/toplotna postaja, ",""),IF(CF87&gt;0,"razsvetljava, ",""),IF(CG87&gt;0,"energetsko upravljanje, ",""),IF(CH87&gt;0,"manjši investicijski in organizacijski ukrepi, ",""))</f>
        <v xml:space="preserve">razsvetljava, energetsko upravljanje, manjši investicijski in organizacijski ukrepi, </v>
      </c>
      <c r="CM87" s="9" t="e">
        <f>+CJ87*0.9</f>
        <v>#REF!</v>
      </c>
      <c r="CN87" s="9" t="e">
        <f>+CJ87*0.9</f>
        <v>#REF!</v>
      </c>
      <c r="CO87" s="9" t="e">
        <f>+CJ87*0.9</f>
        <v>#REF!</v>
      </c>
      <c r="CP87" s="69" t="e">
        <f>+IF(CI87-SUM(CM87:CO87)&lt;0,0,CI87-SUM(CM87:CO87))</f>
        <v>#REF!</v>
      </c>
      <c r="CQ87" s="9">
        <f>+(BQ87*CE87*faktorji!$B$24)+(BQ87^0.5*CC87*4*4*0.66*faktorji!$B$22)+(BQ87^0.5*CD87*4*4*0.33*faktorji!$B$25)</f>
        <v>0</v>
      </c>
      <c r="CR87" s="3" t="str">
        <f t="shared" si="35"/>
        <v/>
      </c>
      <c r="CS87" s="9">
        <f>+BQ87*('MOL_tabela rezultatov'!CH87*faktorji!$B$26)+faktorji!$B$27*CG87</f>
        <v>18430.5</v>
      </c>
      <c r="CT87" s="3" t="str">
        <f t="shared" si="33"/>
        <v xml:space="preserve">energetsko upravljanje, manjši investicijski in organizacijski ukrepi, </v>
      </c>
      <c r="CU87" s="9">
        <f t="shared" si="2"/>
        <v>4607.625</v>
      </c>
      <c r="CV87" s="9">
        <f t="shared" ref="CV87:CX87" si="58">+CU87</f>
        <v>4607.625</v>
      </c>
      <c r="CW87" s="9">
        <f t="shared" si="58"/>
        <v>4607.625</v>
      </c>
      <c r="CX87" s="69">
        <f t="shared" si="58"/>
        <v>4607.625</v>
      </c>
    </row>
    <row r="88" spans="1:102" s="10" customFormat="1" ht="18" hidden="1" customHeight="1">
      <c r="A88" s="54" t="s">
        <v>318</v>
      </c>
      <c r="B88" s="3" t="s">
        <v>321</v>
      </c>
      <c r="C88" s="56"/>
      <c r="D88" s="56"/>
      <c r="E88" s="51" t="s">
        <v>1174</v>
      </c>
      <c r="F88" s="51"/>
      <c r="G88" s="51">
        <v>4</v>
      </c>
      <c r="H88" s="51"/>
      <c r="I88" s="51"/>
      <c r="J88" s="51">
        <v>7</v>
      </c>
      <c r="K88" s="37" t="s">
        <v>1241</v>
      </c>
      <c r="L88" s="50"/>
      <c r="M88" s="1" t="s">
        <v>1186</v>
      </c>
      <c r="N88" s="25"/>
      <c r="O88" s="25"/>
      <c r="P88" s="25"/>
      <c r="Q88" s="25">
        <v>39.89142100497029</v>
      </c>
      <c r="R88" s="25"/>
      <c r="S88" s="25"/>
      <c r="T88" s="25">
        <v>7.4754391614885085</v>
      </c>
      <c r="U88" s="25"/>
      <c r="V88" s="30">
        <v>26.602986339816756</v>
      </c>
      <c r="W88" s="30"/>
      <c r="X88" s="31"/>
      <c r="Y88" s="31"/>
      <c r="Z88" s="31"/>
      <c r="AA88" s="31"/>
      <c r="AB88" s="31"/>
      <c r="AC88" s="31"/>
      <c r="AD88" s="31"/>
      <c r="AE88" s="32"/>
      <c r="AF88" s="1"/>
      <c r="AG88" s="4"/>
      <c r="AH88" s="4"/>
      <c r="AI88" s="6">
        <v>281</v>
      </c>
      <c r="AJ88" s="38"/>
      <c r="AK88" s="3"/>
      <c r="AL88" s="1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7"/>
      <c r="BG88" s="42"/>
      <c r="BH88" s="42"/>
      <c r="BI88" s="42"/>
      <c r="BJ88" s="42"/>
      <c r="BK88" s="44"/>
      <c r="BL88" s="44">
        <v>6.6035000000000004</v>
      </c>
      <c r="BM88" s="44">
        <f>+BK88+BL88</f>
        <v>6.6035000000000004</v>
      </c>
      <c r="BN88" s="47"/>
      <c r="BO88" s="47">
        <v>23.5</v>
      </c>
      <c r="BP88" s="45">
        <v>23.5</v>
      </c>
      <c r="BQ88" s="6">
        <v>281</v>
      </c>
      <c r="BR88" s="4"/>
      <c r="BS88" s="4"/>
      <c r="BT88" s="4"/>
      <c r="BU88" s="4"/>
      <c r="BV88" s="4"/>
      <c r="BW88" s="4"/>
      <c r="BX88" s="4"/>
      <c r="BY88" s="9">
        <f>+INT(BK88*faktorji!$B$4)</f>
        <v>0</v>
      </c>
      <c r="BZ88" s="9">
        <f>+INT(BL88*faktorji!$B$4)</f>
        <v>1089</v>
      </c>
      <c r="CA88" s="4"/>
      <c r="CB88" s="4">
        <v>0</v>
      </c>
      <c r="CC88" s="4">
        <v>0</v>
      </c>
      <c r="CD88" s="4">
        <v>0</v>
      </c>
      <c r="CE88" s="4">
        <v>0</v>
      </c>
      <c r="CF88" s="4">
        <v>1</v>
      </c>
      <c r="CG88" s="4">
        <v>1</v>
      </c>
      <c r="CH88" s="4">
        <v>1</v>
      </c>
      <c r="CI88" s="9">
        <f>+BQ88*(CB88*faktorji!$B$21+'MOL_tabela rezultatov'!CF128*faktorji!$B$23+'MOL_tabela rezultatov'!CH128*faktorji!$B$26)+faktorji!$B$27*CG88</f>
        <v>18421.5</v>
      </c>
      <c r="CJ88" s="9">
        <f>+(BZ88*CF88*faktorji!$B$18)+(CG88*faktorji!$B$17*('MOL_tabela rezultatov'!BY128+'MOL_tabela rezultatov'!BZ128))+('MOL_tabela rezultatov'!CH128*faktorji!$B$16*'MOL_tabela rezultatov'!BY128)+('MOL_tabela rezultatov'!CB128*faktorji!$B$12*'MOL_tabela rezultatov'!BY128)</f>
        <v>451.45</v>
      </c>
      <c r="CK88" s="66">
        <f>+CI88/CJ88</f>
        <v>40.805183298261163</v>
      </c>
      <c r="CL88" s="3" t="str">
        <f>CONCATENATE(IF(CB88&gt;0,"kotlovnica/toplotna postaja, ",""),IF(CF88&gt;0,"razsvetljava, ",""),IF(CG88&gt;0,"energetsko upravljanje, ",""),IF(CH88&gt;0,"manjši investicijski in organizacijski ukrepi, ",""))</f>
        <v xml:space="preserve">razsvetljava, energetsko upravljanje, manjši investicijski in organizacijski ukrepi, </v>
      </c>
      <c r="CM88" s="9">
        <f>+CJ88*0.9</f>
        <v>406.30500000000001</v>
      </c>
      <c r="CN88" s="9">
        <f>+CJ88*0.9</f>
        <v>406.30500000000001</v>
      </c>
      <c r="CO88" s="9">
        <f>+CJ88*0.9</f>
        <v>406.30500000000001</v>
      </c>
      <c r="CP88" s="69">
        <f>+IF(CI88-SUM(CM88:CO88)&lt;0,0,CI88-SUM(CM88:CO88))</f>
        <v>17202.584999999999</v>
      </c>
      <c r="CQ88" s="9">
        <f>+(BQ88*CE88*faktorji!$B$24)+(BQ88^0.5*CC88*4*4*0.66*faktorji!$B$22)+(BQ88^0.5*CD88*4*4*0.33*faktorji!$B$25)</f>
        <v>0</v>
      </c>
      <c r="CR88" s="3" t="str">
        <f t="shared" si="35"/>
        <v/>
      </c>
      <c r="CS88" s="9">
        <f>+BQ88*('MOL_tabela rezultatov'!CH88*faktorji!$B$26)+faktorji!$B$27*CG88</f>
        <v>18421.5</v>
      </c>
      <c r="CT88" s="3" t="str">
        <f t="shared" si="33"/>
        <v xml:space="preserve">energetsko upravljanje, manjši investicijski in organizacijski ukrepi, </v>
      </c>
      <c r="CU88" s="9">
        <f t="shared" si="2"/>
        <v>4605.375</v>
      </c>
      <c r="CV88" s="9">
        <f t="shared" ref="CV88:CX88" si="59">+CU88</f>
        <v>4605.375</v>
      </c>
      <c r="CW88" s="9">
        <f t="shared" si="59"/>
        <v>4605.375</v>
      </c>
      <c r="CX88" s="69">
        <f t="shared" si="59"/>
        <v>4605.375</v>
      </c>
    </row>
    <row r="89" spans="1:102" s="10" customFormat="1" ht="18" hidden="1" customHeight="1">
      <c r="A89" s="53" t="s">
        <v>498</v>
      </c>
      <c r="B89" s="2" t="s">
        <v>499</v>
      </c>
      <c r="C89" s="57"/>
      <c r="D89" s="57"/>
      <c r="E89" s="51" t="s">
        <v>1175</v>
      </c>
      <c r="F89" s="51"/>
      <c r="G89" s="51" t="s">
        <v>1366</v>
      </c>
      <c r="H89" s="51" t="s">
        <v>1255</v>
      </c>
      <c r="I89" s="77" t="s">
        <v>1334</v>
      </c>
      <c r="J89" s="51">
        <v>1</v>
      </c>
      <c r="K89" s="37" t="s">
        <v>1244</v>
      </c>
      <c r="L89" s="50">
        <v>2013</v>
      </c>
      <c r="M89" s="110" t="s">
        <v>6</v>
      </c>
      <c r="N89" s="25"/>
      <c r="O89" s="28">
        <v>490.77949999999998</v>
      </c>
      <c r="P89" s="25"/>
      <c r="Q89" s="25"/>
      <c r="R89" s="25"/>
      <c r="S89" s="25"/>
      <c r="T89" s="25">
        <v>80.599999999999994</v>
      </c>
      <c r="U89" s="25">
        <v>571.37950000000001</v>
      </c>
      <c r="V89" s="30">
        <v>29.851851851851848</v>
      </c>
      <c r="W89" s="30">
        <v>181.7701851851852</v>
      </c>
      <c r="X89" s="31"/>
      <c r="Y89" s="31"/>
      <c r="Z89" s="31"/>
      <c r="AA89" s="31"/>
      <c r="AB89" s="31"/>
      <c r="AC89" s="31"/>
      <c r="AD89" s="31"/>
      <c r="AE89" s="32"/>
      <c r="AF89" s="16"/>
      <c r="AG89" s="3"/>
      <c r="AH89" s="4"/>
      <c r="AI89" s="6">
        <v>2700</v>
      </c>
      <c r="AJ89" s="38">
        <v>100</v>
      </c>
      <c r="AK89" s="3"/>
      <c r="AL89" s="1"/>
      <c r="AM89" s="37"/>
      <c r="AN89" s="37"/>
      <c r="AO89" s="37"/>
      <c r="AP89" s="37"/>
      <c r="AQ89" s="39"/>
      <c r="AR89" s="39"/>
      <c r="AS89" s="39"/>
      <c r="AT89" s="39"/>
      <c r="AU89" s="37"/>
      <c r="AV89" s="37"/>
      <c r="AW89" s="37"/>
      <c r="AX89" s="37"/>
      <c r="AY89" s="37"/>
      <c r="AZ89" s="37"/>
      <c r="BA89" s="37"/>
      <c r="BB89" s="37"/>
      <c r="BC89" s="37"/>
      <c r="BD89" s="37"/>
      <c r="BE89" s="37"/>
      <c r="BF89" s="37"/>
      <c r="BG89" s="42"/>
      <c r="BH89" s="42">
        <v>534.4</v>
      </c>
      <c r="BI89" s="42"/>
      <c r="BJ89" s="42"/>
      <c r="BK89" s="107">
        <v>395.7</v>
      </c>
      <c r="BL89" s="107">
        <v>31.5</v>
      </c>
      <c r="BM89" s="107">
        <f>+BK89+BL89</f>
        <v>427.2</v>
      </c>
      <c r="BN89" s="108">
        <f>+BK89/BQ89*1000</f>
        <v>155.05485893416929</v>
      </c>
      <c r="BO89" s="108">
        <f>+BL89*1000/BQ89</f>
        <v>12.343260188087774</v>
      </c>
      <c r="BP89" s="109">
        <f>+BO89+BN89</f>
        <v>167.39811912225707</v>
      </c>
      <c r="BQ89" s="106">
        <v>2552</v>
      </c>
      <c r="BR89" s="110" t="s">
        <v>1033</v>
      </c>
      <c r="BS89" s="110">
        <v>1980</v>
      </c>
      <c r="BT89" s="110" t="s">
        <v>1413</v>
      </c>
      <c r="BU89" s="4"/>
      <c r="BV89" s="4"/>
      <c r="BW89" s="4"/>
      <c r="BX89" s="4"/>
      <c r="BY89" s="106">
        <f>+INT(BK89*faktorji!$B$5)</f>
        <v>37591</v>
      </c>
      <c r="BZ89" s="106">
        <f>+INT(BL89*faktorji!$B$4)</f>
        <v>5197</v>
      </c>
      <c r="CA89" s="114" t="s">
        <v>1414</v>
      </c>
      <c r="CB89" s="4">
        <v>0</v>
      </c>
      <c r="CC89" s="4">
        <v>0</v>
      </c>
      <c r="CD89" s="4">
        <v>0</v>
      </c>
      <c r="CE89" s="4">
        <v>0</v>
      </c>
      <c r="CF89" s="4">
        <v>0</v>
      </c>
      <c r="CG89" s="4">
        <v>0</v>
      </c>
      <c r="CH89" s="4">
        <v>0</v>
      </c>
      <c r="CI89" s="106">
        <f>161900-20000</f>
        <v>141900</v>
      </c>
      <c r="CJ89" s="106">
        <v>11000</v>
      </c>
      <c r="CK89" s="66">
        <f>+CI89/CJ89</f>
        <v>12.9</v>
      </c>
      <c r="CL89" s="3" t="str">
        <f>CONCATENATE(IF(CB89&gt;0,"kotlovnica/toplotna postaja, ",""),IF(CF89&gt;0,"razsvetljava, ",""),IF(CG89&gt;0,"energetsko upravljanje, ",""),IF(CH89&gt;0,"manjši investicijski in organizacijski ukrepi, ",""))</f>
        <v/>
      </c>
      <c r="CM89" s="9">
        <f>+CJ89*0.9</f>
        <v>9900</v>
      </c>
      <c r="CN89" s="9">
        <f>+CJ89*0.9</f>
        <v>9900</v>
      </c>
      <c r="CO89" s="9">
        <f>+CJ89*0.9</f>
        <v>9900</v>
      </c>
      <c r="CP89" s="69">
        <f>+IF(CI89-SUM(CM89:CO89)&lt;0,0,CI89-SUM(CM89:CO89))</f>
        <v>112200</v>
      </c>
      <c r="CQ89" s="9">
        <f>+(BQ89*CE89*faktorji!$B$24)+(BQ89^0.5*CC89*4*4*0.66*faktorji!$B$22)+(BQ89^0.5*CD89*4*4*0.33*faktorji!$B$25)</f>
        <v>0</v>
      </c>
      <c r="CR89" s="3" t="str">
        <f t="shared" si="35"/>
        <v/>
      </c>
      <c r="CS89" s="9">
        <f>+BQ89*('MOL_tabela rezultatov'!CH89*faktorji!$B$26)+faktorji!$B$27*CG89</f>
        <v>0</v>
      </c>
      <c r="CT89" s="3" t="str">
        <f t="shared" si="33"/>
        <v/>
      </c>
      <c r="CU89" s="9">
        <f t="shared" si="2"/>
        <v>0</v>
      </c>
      <c r="CV89" s="9">
        <f t="shared" ref="CV89:CX89" si="60">+CU89</f>
        <v>0</v>
      </c>
      <c r="CW89" s="9">
        <f t="shared" si="60"/>
        <v>0</v>
      </c>
      <c r="CX89" s="69">
        <f t="shared" si="60"/>
        <v>0</v>
      </c>
    </row>
    <row r="90" spans="1:102" s="10" customFormat="1" ht="18" hidden="1" customHeight="1">
      <c r="A90" s="53" t="s">
        <v>611</v>
      </c>
      <c r="B90" s="2" t="s">
        <v>612</v>
      </c>
      <c r="C90" s="57"/>
      <c r="D90" s="57"/>
      <c r="E90" s="51" t="s">
        <v>1176</v>
      </c>
      <c r="F90" s="51"/>
      <c r="G90" s="51">
        <v>3</v>
      </c>
      <c r="H90" s="51"/>
      <c r="I90" s="51"/>
      <c r="J90" s="51">
        <v>7</v>
      </c>
      <c r="K90" s="37" t="s">
        <v>1243</v>
      </c>
      <c r="L90" s="50"/>
      <c r="M90" s="4" t="s">
        <v>6</v>
      </c>
      <c r="N90" s="25"/>
      <c r="O90" s="25">
        <v>152.63333333333333</v>
      </c>
      <c r="P90" s="25"/>
      <c r="Q90" s="25"/>
      <c r="R90" s="25"/>
      <c r="S90" s="25"/>
      <c r="T90" s="27">
        <v>12.416</v>
      </c>
      <c r="U90" s="25">
        <v>165.04933333333332</v>
      </c>
      <c r="V90" s="30">
        <v>17.864748201438847</v>
      </c>
      <c r="W90" s="30">
        <v>219.61630695443642</v>
      </c>
      <c r="X90" s="31"/>
      <c r="Y90" s="31"/>
      <c r="Z90" s="31"/>
      <c r="AA90" s="31"/>
      <c r="AB90" s="31"/>
      <c r="AC90" s="31"/>
      <c r="AD90" s="31"/>
      <c r="AE90" s="32"/>
      <c r="AF90" s="16" t="s">
        <v>613</v>
      </c>
      <c r="AG90" s="3"/>
      <c r="AH90" s="4"/>
      <c r="AI90" s="12">
        <v>695</v>
      </c>
      <c r="AJ90" s="38">
        <v>100</v>
      </c>
      <c r="AK90" s="3"/>
      <c r="AL90" s="1" t="s">
        <v>614</v>
      </c>
      <c r="AM90" s="37"/>
      <c r="AN90" s="37"/>
      <c r="AO90" s="37"/>
      <c r="AP90" s="37"/>
      <c r="AQ90" s="37"/>
      <c r="AR90" s="37"/>
      <c r="AS90" s="37"/>
      <c r="AT90" s="37">
        <f>(883*9.5)/1000</f>
        <v>8.3885000000000005</v>
      </c>
      <c r="AU90" s="37">
        <v>7.9</v>
      </c>
      <c r="AV90" s="37">
        <v>38.200000000000003</v>
      </c>
      <c r="AW90" s="37">
        <v>32.799999999999997</v>
      </c>
      <c r="AX90" s="37">
        <v>27.2</v>
      </c>
      <c r="AY90" s="37"/>
      <c r="AZ90" s="37"/>
      <c r="BA90" s="37"/>
      <c r="BB90" s="37"/>
      <c r="BC90" s="37">
        <v>6.1</v>
      </c>
      <c r="BD90" s="37">
        <v>5.9</v>
      </c>
      <c r="BE90" s="37">
        <v>5.6</v>
      </c>
      <c r="BF90" s="37">
        <v>5.7</v>
      </c>
      <c r="BG90" s="42"/>
      <c r="BH90" s="42">
        <v>8.3885000000000005</v>
      </c>
      <c r="BI90" s="42">
        <v>26.525000000000002</v>
      </c>
      <c r="BJ90" s="43"/>
      <c r="BK90" s="44">
        <v>34.913499999999999</v>
      </c>
      <c r="BL90" s="44">
        <v>5.8250000000000002</v>
      </c>
      <c r="BM90" s="44">
        <f>+BK90+BL90</f>
        <v>40.738500000000002</v>
      </c>
      <c r="BN90" s="47">
        <v>326.29439252336448</v>
      </c>
      <c r="BO90" s="47">
        <v>54.439252336448597</v>
      </c>
      <c r="BP90" s="45">
        <v>380.73364485981307</v>
      </c>
      <c r="BQ90" s="9">
        <v>107</v>
      </c>
      <c r="BR90" s="4"/>
      <c r="BS90" s="4"/>
      <c r="BT90" s="4" t="s">
        <v>875</v>
      </c>
      <c r="BU90" s="4"/>
      <c r="BV90" s="4" t="s">
        <v>871</v>
      </c>
      <c r="BW90" s="4"/>
      <c r="BX90" s="4"/>
      <c r="BY90" s="9">
        <f>+INT(BK90*faktorji!$B$5)</f>
        <v>3316</v>
      </c>
      <c r="BZ90" s="9">
        <f>+INT(BL90*faktorji!$B$4)</f>
        <v>961</v>
      </c>
      <c r="CA90" s="4"/>
      <c r="CB90" s="4">
        <v>0</v>
      </c>
      <c r="CC90" s="4">
        <v>1</v>
      </c>
      <c r="CD90" s="4">
        <v>0</v>
      </c>
      <c r="CE90" s="4">
        <v>1</v>
      </c>
      <c r="CF90" s="4">
        <v>1</v>
      </c>
      <c r="CG90" s="4">
        <v>1</v>
      </c>
      <c r="CH90" s="4">
        <v>1</v>
      </c>
      <c r="CI90" s="9">
        <f>+BQ90*(CB90*faktorji!$B$21+'MOL_tabela rezultatov'!CF224*faktorji!$B$23+'MOL_tabela rezultatov'!CH224*faktorji!$B$26)+faktorji!$B$27*CG90</f>
        <v>18160.5</v>
      </c>
      <c r="CJ90" s="9">
        <f>+(BZ90*CF90*faktorji!$B$18)+(CG90*faktorji!$B$17*('MOL_tabela rezultatov'!BY224+'MOL_tabela rezultatov'!BZ224))+('MOL_tabela rezultatov'!CH224*faktorji!$B$16*'MOL_tabela rezultatov'!BY224)+('MOL_tabela rezultatov'!CB224*faktorji!$B$12*'MOL_tabela rezultatov'!BY224)</f>
        <v>606.15000000000009</v>
      </c>
      <c r="CK90" s="66">
        <f>+CI90/CJ90</f>
        <v>29.960405840138574</v>
      </c>
      <c r="CL90" s="3" t="str">
        <f>CONCATENATE(IF(CB90&gt;0,"kotlovnica/toplotna postaja, ",""),IF(CF90&gt;0,"razsvetljava, ",""),IF(CG90&gt;0,"energetsko upravljanje, ",""),IF(CH90&gt;0,"manjši investicijski in organizacijski ukrepi, ",""))</f>
        <v xml:space="preserve">razsvetljava, energetsko upravljanje, manjši investicijski in organizacijski ukrepi, </v>
      </c>
      <c r="CM90" s="9">
        <f>+CJ90*0.9</f>
        <v>545.53500000000008</v>
      </c>
      <c r="CN90" s="9">
        <f>+CJ90*0.9</f>
        <v>545.53500000000008</v>
      </c>
      <c r="CO90" s="9">
        <f>+CJ90*0.9</f>
        <v>545.53500000000008</v>
      </c>
      <c r="CP90" s="69">
        <f>+IF(CI90-SUM(CM90:CO90)&lt;0,0,CI90-SUM(CM90:CO90))</f>
        <v>16523.895</v>
      </c>
      <c r="CQ90" s="9">
        <f>+(BQ90*CE90*faktorji!$B$24)+(BQ90^0.5*CC90*4*4*0.66*faktorji!$B$22)+(BQ90^0.5*CD90*4*4*0.33*faktorji!$B$25)</f>
        <v>9786.3442559173345</v>
      </c>
      <c r="CR90" s="3" t="str">
        <f t="shared" si="35"/>
        <v xml:space="preserve">izolacija ovoja, izolacija podstrešja, </v>
      </c>
      <c r="CS90" s="9">
        <f>+BQ90*('MOL_tabela rezultatov'!CH90*faktorji!$B$26)+faktorji!$B$27*CG90</f>
        <v>18160.5</v>
      </c>
      <c r="CT90" s="3" t="str">
        <f t="shared" si="33"/>
        <v xml:space="preserve">energetsko upravljanje, manjši investicijski in organizacijski ukrepi, </v>
      </c>
      <c r="CU90" s="9">
        <f t="shared" si="2"/>
        <v>4540.125</v>
      </c>
      <c r="CV90" s="9">
        <f t="shared" ref="CV90:CX90" si="61">+CU90</f>
        <v>4540.125</v>
      </c>
      <c r="CW90" s="9">
        <f t="shared" si="61"/>
        <v>4540.125</v>
      </c>
      <c r="CX90" s="69">
        <f t="shared" si="61"/>
        <v>4540.125</v>
      </c>
    </row>
    <row r="91" spans="1:102" s="10" customFormat="1" ht="18" hidden="1" customHeight="1">
      <c r="A91" s="53" t="s">
        <v>276</v>
      </c>
      <c r="B91" s="2" t="s">
        <v>277</v>
      </c>
      <c r="C91" s="57"/>
      <c r="D91" s="57"/>
      <c r="E91" s="51" t="s">
        <v>1174</v>
      </c>
      <c r="F91" s="51"/>
      <c r="G91" s="51">
        <v>4</v>
      </c>
      <c r="H91" s="51"/>
      <c r="I91" s="51"/>
      <c r="J91" s="51">
        <v>7</v>
      </c>
      <c r="K91" s="37" t="s">
        <v>1244</v>
      </c>
      <c r="L91" s="50"/>
      <c r="M91" s="4" t="s">
        <v>6</v>
      </c>
      <c r="N91" s="25"/>
      <c r="O91" s="25">
        <v>106.8</v>
      </c>
      <c r="P91" s="25"/>
      <c r="Q91" s="25"/>
      <c r="R91" s="25"/>
      <c r="S91" s="25"/>
      <c r="T91" s="25">
        <v>17.718</v>
      </c>
      <c r="U91" s="25">
        <v>124.518</v>
      </c>
      <c r="V91" s="30">
        <v>22.655840419410524</v>
      </c>
      <c r="W91" s="30">
        <v>136.56415830189886</v>
      </c>
      <c r="X91" s="31"/>
      <c r="Y91" s="31">
        <v>105.8</v>
      </c>
      <c r="Z91" s="31"/>
      <c r="AA91" s="31"/>
      <c r="AB91" s="31"/>
      <c r="AC91" s="31">
        <v>16.739999999999998</v>
      </c>
      <c r="AD91" s="31"/>
      <c r="AE91" s="32">
        <v>135.28546768109456</v>
      </c>
      <c r="AF91" s="1" t="s">
        <v>278</v>
      </c>
      <c r="AG91" s="4">
        <v>2006</v>
      </c>
      <c r="AH91" s="4">
        <v>1956</v>
      </c>
      <c r="AI91" s="6">
        <v>782.05</v>
      </c>
      <c r="AJ91" s="38">
        <v>100</v>
      </c>
      <c r="AK91" s="3"/>
      <c r="AL91" s="1" t="s">
        <v>279</v>
      </c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  <c r="BA91" s="37"/>
      <c r="BB91" s="37"/>
      <c r="BC91" s="37"/>
      <c r="BD91" s="37"/>
      <c r="BE91" s="37"/>
      <c r="BF91" s="37"/>
      <c r="BG91" s="42"/>
      <c r="BH91" s="42">
        <v>109.4</v>
      </c>
      <c r="BI91" s="42"/>
      <c r="BJ91" s="42"/>
      <c r="BK91" s="44">
        <v>109.4</v>
      </c>
      <c r="BL91" s="44">
        <v>17.72</v>
      </c>
      <c r="BM91" s="44">
        <f>+BK91+BL91</f>
        <v>127.12</v>
      </c>
      <c r="BN91" s="47">
        <v>139.88875391599004</v>
      </c>
      <c r="BO91" s="47">
        <v>22.658397800652132</v>
      </c>
      <c r="BP91" s="45">
        <v>162.54715171664216</v>
      </c>
      <c r="BQ91" s="6">
        <v>782.05</v>
      </c>
      <c r="BR91" s="4"/>
      <c r="BS91" s="4"/>
      <c r="BT91" s="4"/>
      <c r="BU91" s="4"/>
      <c r="BV91" s="4"/>
      <c r="BW91" s="4"/>
      <c r="BX91" s="4"/>
      <c r="BY91" s="9">
        <f>+INT(BK91*faktorji!$B$5)</f>
        <v>10393</v>
      </c>
      <c r="BZ91" s="9">
        <f>+INT(BL91*faktorji!$B$4)</f>
        <v>2923</v>
      </c>
      <c r="CA91" s="4"/>
      <c r="CB91" s="4">
        <v>0</v>
      </c>
      <c r="CC91" s="4">
        <v>0</v>
      </c>
      <c r="CD91" s="4">
        <v>0</v>
      </c>
      <c r="CE91" s="4">
        <v>0</v>
      </c>
      <c r="CF91" s="4">
        <v>1</v>
      </c>
      <c r="CG91" s="4">
        <v>1</v>
      </c>
      <c r="CH91" s="4">
        <v>1</v>
      </c>
      <c r="CI91" s="9">
        <f>+BQ91*(CB91*faktorji!$B$21+'MOL_tabela rezultatov'!CF107*faktorji!$B$23+'MOL_tabela rezultatov'!CH107*faktorji!$B$26)+faktorji!$B$27*CG91</f>
        <v>19173.075000000001</v>
      </c>
      <c r="CJ91" s="9">
        <f>+(BZ91*CF91*faktorji!$B$18)+(CG91*faktorji!$B$17*('MOL_tabela rezultatov'!BY107+'MOL_tabela rezultatov'!BZ107))+('MOL_tabela rezultatov'!CH107*faktorji!$B$16*'MOL_tabela rezultatov'!BY107)+('MOL_tabela rezultatov'!CB107*faktorji!$B$12*'MOL_tabela rezultatov'!BY107)</f>
        <v>9036.5500000000011</v>
      </c>
      <c r="CK91" s="66">
        <f>+CI91/CJ91</f>
        <v>2.1217251052669437</v>
      </c>
      <c r="CL91" s="3" t="str">
        <f>CONCATENATE(IF(CB91&gt;0,"kotlovnica/toplotna postaja, ",""),IF(CF91&gt;0,"razsvetljava, ",""),IF(CG91&gt;0,"energetsko upravljanje, ",""),IF(CH91&gt;0,"manjši investicijski in organizacijski ukrepi, ",""))</f>
        <v xml:space="preserve">razsvetljava, energetsko upravljanje, manjši investicijski in organizacijski ukrepi, </v>
      </c>
      <c r="CM91" s="9">
        <f>+CJ91*0.9</f>
        <v>8132.8950000000013</v>
      </c>
      <c r="CN91" s="9">
        <f>+CJ91*0.9</f>
        <v>8132.8950000000013</v>
      </c>
      <c r="CO91" s="9">
        <f>+CJ91*0.9</f>
        <v>8132.8950000000013</v>
      </c>
      <c r="CP91" s="69">
        <f>+IF(CI91-SUM(CM91:CO91)&lt;0,0,CI91-SUM(CM91:CO91))</f>
        <v>0</v>
      </c>
      <c r="CQ91" s="9">
        <f>+(BQ91*CE91*faktorji!$B$24)+(BQ91^0.5*CC91*4*4*0.66*faktorji!$B$22)+(BQ91^0.5*CD91*4*4*0.33*faktorji!$B$25)</f>
        <v>0</v>
      </c>
      <c r="CR91" s="3" t="str">
        <f t="shared" si="35"/>
        <v/>
      </c>
      <c r="CS91" s="9">
        <f>+BQ91*('MOL_tabela rezultatov'!CH91*faktorji!$B$26)+faktorji!$B$27*CG91</f>
        <v>19173.075000000001</v>
      </c>
      <c r="CT91" s="3" t="str">
        <f t="shared" si="33"/>
        <v xml:space="preserve">energetsko upravljanje, manjši investicijski in organizacijski ukrepi, </v>
      </c>
      <c r="CU91" s="9">
        <f t="shared" ref="CU91:CU152" si="62">+CS91/4</f>
        <v>4793.2687500000002</v>
      </c>
      <c r="CV91" s="9">
        <f t="shared" ref="CV91:CX91" si="63">+CU91</f>
        <v>4793.2687500000002</v>
      </c>
      <c r="CW91" s="9">
        <f t="shared" si="63"/>
        <v>4793.2687500000002</v>
      </c>
      <c r="CX91" s="69">
        <f t="shared" si="63"/>
        <v>4793.2687500000002</v>
      </c>
    </row>
    <row r="92" spans="1:102" s="10" customFormat="1" ht="18" hidden="1" customHeight="1">
      <c r="A92" s="53" t="s">
        <v>15</v>
      </c>
      <c r="B92" s="3" t="s">
        <v>16</v>
      </c>
      <c r="C92" s="56"/>
      <c r="D92" s="56"/>
      <c r="E92" s="51" t="s">
        <v>1168</v>
      </c>
      <c r="F92" s="51" t="s">
        <v>1255</v>
      </c>
      <c r="G92" s="51">
        <v>2</v>
      </c>
      <c r="H92" s="51"/>
      <c r="I92" s="51"/>
      <c r="J92" s="51">
        <v>4</v>
      </c>
      <c r="K92" s="37" t="s">
        <v>1244</v>
      </c>
      <c r="L92" s="50"/>
      <c r="M92" s="4" t="s">
        <v>5</v>
      </c>
      <c r="N92" s="25">
        <v>35.53629402946342</v>
      </c>
      <c r="O92" s="25"/>
      <c r="P92" s="25"/>
      <c r="Q92" s="25"/>
      <c r="R92" s="25"/>
      <c r="S92" s="25"/>
      <c r="T92" s="25">
        <v>14.42</v>
      </c>
      <c r="U92" s="25">
        <v>49.956294029463422</v>
      </c>
      <c r="V92" s="30">
        <v>68.409317330044132</v>
      </c>
      <c r="W92" s="30">
        <v>168.58624237138108</v>
      </c>
      <c r="X92" s="31"/>
      <c r="Y92" s="31"/>
      <c r="Z92" s="31"/>
      <c r="AA92" s="31"/>
      <c r="AB92" s="31"/>
      <c r="AC92" s="31">
        <v>15.56</v>
      </c>
      <c r="AD92" s="31"/>
      <c r="AE92" s="32">
        <v>0</v>
      </c>
      <c r="AF92" s="1"/>
      <c r="AG92" s="4"/>
      <c r="AH92" s="4" t="s">
        <v>17</v>
      </c>
      <c r="AI92" s="6">
        <v>210.79</v>
      </c>
      <c r="AJ92" s="38">
        <v>100</v>
      </c>
      <c r="AK92" s="3" t="s">
        <v>13</v>
      </c>
      <c r="AL92" s="1" t="s">
        <v>18</v>
      </c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  <c r="BD92" s="37"/>
      <c r="BE92" s="37"/>
      <c r="BF92" s="37"/>
      <c r="BG92" s="42">
        <v>30.5</v>
      </c>
      <c r="BH92" s="42"/>
      <c r="BI92" s="42"/>
      <c r="BJ92" s="42"/>
      <c r="BK92" s="44">
        <v>30.5</v>
      </c>
      <c r="BL92" s="44">
        <v>14.42</v>
      </c>
      <c r="BM92" s="44">
        <f>+BK92+BL92</f>
        <v>44.92</v>
      </c>
      <c r="BN92" s="47">
        <v>144.54976303317537</v>
      </c>
      <c r="BO92" s="47">
        <v>68.341232227488149</v>
      </c>
      <c r="BP92" s="45">
        <v>212.89099526066352</v>
      </c>
      <c r="BQ92" s="9">
        <v>211</v>
      </c>
      <c r="BR92" s="4"/>
      <c r="BS92" s="4"/>
      <c r="BT92" s="4"/>
      <c r="BU92" s="4"/>
      <c r="BV92" s="4"/>
      <c r="BW92" s="4"/>
      <c r="BX92" s="4"/>
      <c r="BY92" s="9">
        <f>+INT(BK92*faktorji!$B$3)</f>
        <v>1982</v>
      </c>
      <c r="BZ92" s="9">
        <f>+INT(BL92*faktorji!$B$4)</f>
        <v>2379</v>
      </c>
      <c r="CA92" s="3" t="s">
        <v>1313</v>
      </c>
      <c r="CB92" s="4">
        <v>0</v>
      </c>
      <c r="CC92" s="4">
        <v>0</v>
      </c>
      <c r="CD92" s="4">
        <v>0</v>
      </c>
      <c r="CE92" s="4">
        <v>0</v>
      </c>
      <c r="CF92" s="4">
        <v>0</v>
      </c>
      <c r="CG92" s="4">
        <v>1</v>
      </c>
      <c r="CH92" s="4">
        <v>1</v>
      </c>
      <c r="CI92" s="9">
        <f>+BQ92*(CB92*faktorji!$B$21+'MOL_tabela rezultatov'!CF4*faktorji!$B$23+'MOL_tabela rezultatov'!CH4*faktorji!$B$26)+faktorji!$B$27*CG92</f>
        <v>21481.5</v>
      </c>
      <c r="CJ92" s="9">
        <f>+(BZ92*CF92*faktorji!$B$18)+(CG92*faktorji!$B$17*('MOL_tabela rezultatov'!BY4+'MOL_tabela rezultatov'!BZ4))+('MOL_tabela rezultatov'!CH4*faktorji!$B$16*'MOL_tabela rezultatov'!BY4)+('MOL_tabela rezultatov'!CB4*faktorji!$B$12*'MOL_tabela rezultatov'!BY4)</f>
        <v>42261.2</v>
      </c>
      <c r="CK92" s="66">
        <f>+CI92/CJ92</f>
        <v>0.50830312437886294</v>
      </c>
      <c r="CL92" s="3" t="str">
        <f>CONCATENATE(IF(CB92&gt;0,"kotlovnica/toplotna postaja, ",""),IF(CF92&gt;0,"razsvetljava, ",""),IF(CG92&gt;0,"energetsko upravljanje, ",""),IF(CH92&gt;0,"manjši investicijski in organizacijski ukrepi, ",""))</f>
        <v xml:space="preserve">energetsko upravljanje, manjši investicijski in organizacijski ukrepi, </v>
      </c>
      <c r="CM92" s="9">
        <f>+CJ92*0.9</f>
        <v>38035.08</v>
      </c>
      <c r="CN92" s="9">
        <f>+CJ92*0.9</f>
        <v>38035.08</v>
      </c>
      <c r="CO92" s="9">
        <f>+CJ92*0.9</f>
        <v>38035.08</v>
      </c>
      <c r="CP92" s="69">
        <f>+IF(CI92-SUM(CM92:CO92)&lt;0,0,CI92-SUM(CM92:CO92))</f>
        <v>0</v>
      </c>
      <c r="CQ92" s="9">
        <f>+(BQ92*CE92*faktorji!$B$24)+(BQ92^0.5*CC92*4*4*0.66*faktorji!$B$22)+(BQ92^0.5*CD92*4*4*0.33*faktorji!$B$25)</f>
        <v>0</v>
      </c>
      <c r="CR92" s="3" t="str">
        <f t="shared" si="35"/>
        <v/>
      </c>
      <c r="CS92" s="9">
        <f>+BQ92*('MOL_tabela rezultatov'!CH92*faktorji!$B$26)+faktorji!$B$27*CG92</f>
        <v>18316.5</v>
      </c>
      <c r="CT92" s="3" t="str">
        <f t="shared" si="33"/>
        <v xml:space="preserve">energetsko upravljanje, manjši investicijski in organizacijski ukrepi, </v>
      </c>
      <c r="CU92" s="9">
        <f t="shared" si="62"/>
        <v>4579.125</v>
      </c>
      <c r="CV92" s="9">
        <f t="shared" ref="CV92:CX92" si="64">+CU92</f>
        <v>4579.125</v>
      </c>
      <c r="CW92" s="9">
        <f t="shared" si="64"/>
        <v>4579.125</v>
      </c>
      <c r="CX92" s="69">
        <f t="shared" si="64"/>
        <v>4579.125</v>
      </c>
    </row>
    <row r="93" spans="1:102" s="10" customFormat="1" ht="18" hidden="1" customHeight="1">
      <c r="A93" s="53" t="s">
        <v>297</v>
      </c>
      <c r="B93" s="2" t="s">
        <v>299</v>
      </c>
      <c r="C93" s="57"/>
      <c r="D93" s="57"/>
      <c r="E93" s="51" t="s">
        <v>1174</v>
      </c>
      <c r="F93" s="51"/>
      <c r="G93" s="51">
        <v>4</v>
      </c>
      <c r="H93" s="51"/>
      <c r="I93" s="51"/>
      <c r="J93" s="51">
        <v>7</v>
      </c>
      <c r="K93" s="37" t="s">
        <v>1241</v>
      </c>
      <c r="L93" s="50"/>
      <c r="M93" s="1" t="s">
        <v>1186</v>
      </c>
      <c r="N93" s="25"/>
      <c r="O93" s="25"/>
      <c r="P93" s="25"/>
      <c r="Q93" s="25">
        <v>6.9950000000000001</v>
      </c>
      <c r="R93" s="25"/>
      <c r="S93" s="25"/>
      <c r="T93" s="25">
        <v>6.9950000000000001</v>
      </c>
      <c r="U93" s="25">
        <v>6.9950000000000001</v>
      </c>
      <c r="V93" s="30">
        <v>48.868240883051563</v>
      </c>
      <c r="W93" s="30">
        <v>48.868240883051563</v>
      </c>
      <c r="X93" s="31"/>
      <c r="Y93" s="31"/>
      <c r="Z93" s="31"/>
      <c r="AA93" s="31"/>
      <c r="AB93" s="31"/>
      <c r="AC93" s="31">
        <v>9.8699999999999992</v>
      </c>
      <c r="AD93" s="31"/>
      <c r="AE93" s="32">
        <v>0</v>
      </c>
      <c r="AF93" s="1"/>
      <c r="AG93" s="4"/>
      <c r="AH93" s="4">
        <v>1964</v>
      </c>
      <c r="AI93" s="6">
        <v>143.13999999999999</v>
      </c>
      <c r="AJ93" s="38">
        <v>100</v>
      </c>
      <c r="AK93" s="3"/>
      <c r="AL93" s="1" t="s">
        <v>127</v>
      </c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37"/>
      <c r="BE93" s="37"/>
      <c r="BF93" s="37"/>
      <c r="BG93" s="42"/>
      <c r="BH93" s="42"/>
      <c r="BI93" s="42"/>
      <c r="BJ93" s="42"/>
      <c r="BK93" s="44"/>
      <c r="BL93" s="44">
        <v>7</v>
      </c>
      <c r="BM93" s="44">
        <f>+BK93+BL93</f>
        <v>7</v>
      </c>
      <c r="BN93" s="47"/>
      <c r="BO93" s="47">
        <v>48.903171719994418</v>
      </c>
      <c r="BP93" s="45">
        <v>48.903171719994418</v>
      </c>
      <c r="BQ93" s="6">
        <v>143.13999999999999</v>
      </c>
      <c r="BR93" s="4"/>
      <c r="BS93" s="4"/>
      <c r="BT93" s="4"/>
      <c r="BU93" s="4"/>
      <c r="BV93" s="4"/>
      <c r="BW93" s="4"/>
      <c r="BX93" s="4"/>
      <c r="BY93" s="9">
        <f>+INT(BK93*faktorji!$B$4)</f>
        <v>0</v>
      </c>
      <c r="BZ93" s="9">
        <f>+INT(BL93*faktorji!$B$4)</f>
        <v>1155</v>
      </c>
      <c r="CA93" s="4"/>
      <c r="CB93" s="4">
        <v>0</v>
      </c>
      <c r="CC93" s="4">
        <v>0</v>
      </c>
      <c r="CD93" s="4">
        <v>0</v>
      </c>
      <c r="CE93" s="4">
        <v>0</v>
      </c>
      <c r="CF93" s="4">
        <v>1</v>
      </c>
      <c r="CG93" s="4">
        <v>1</v>
      </c>
      <c r="CH93" s="4">
        <v>1</v>
      </c>
      <c r="CI93" s="9">
        <f>+BQ93*(CB93*faktorji!$B$21+'MOL_tabela rezultatov'!CF117*faktorji!$B$23+'MOL_tabela rezultatov'!CH117*faktorji!$B$26)+faktorji!$B$27*CG93</f>
        <v>20361.810000000001</v>
      </c>
      <c r="CJ93" s="9">
        <f>+(BZ93*CF93*faktorji!$B$18)+(CG93*faktorji!$B$17*('MOL_tabela rezultatov'!BY117+'MOL_tabela rezultatov'!BZ117))+('MOL_tabela rezultatov'!CH117*faktorji!$B$16*'MOL_tabela rezultatov'!BY117)+('MOL_tabela rezultatov'!CB117*faktorji!$B$12*'MOL_tabela rezultatov'!BY117)</f>
        <v>10355.549999999999</v>
      </c>
      <c r="CK93" s="66">
        <f>+CI93/CJ93</f>
        <v>1.9662702608746037</v>
      </c>
      <c r="CL93" s="3" t="str">
        <f>CONCATENATE(IF(CB93&gt;0,"kotlovnica/toplotna postaja, ",""),IF(CF93&gt;0,"razsvetljava, ",""),IF(CG93&gt;0,"energetsko upravljanje, ",""),IF(CH93&gt;0,"manjši investicijski in organizacijski ukrepi, ",""))</f>
        <v xml:space="preserve">razsvetljava, energetsko upravljanje, manjši investicijski in organizacijski ukrepi, </v>
      </c>
      <c r="CM93" s="9">
        <f>+CJ93*0.9</f>
        <v>9319.994999999999</v>
      </c>
      <c r="CN93" s="9">
        <f>+CJ93*0.9</f>
        <v>9319.994999999999</v>
      </c>
      <c r="CO93" s="9">
        <f>+CJ93*0.9</f>
        <v>9319.994999999999</v>
      </c>
      <c r="CP93" s="69">
        <f>+IF(CI93-SUM(CM93:CO93)&lt;0,0,CI93-SUM(CM93:CO93))</f>
        <v>0</v>
      </c>
      <c r="CQ93" s="9">
        <f>+(BQ93*CE93*faktorji!$B$24)+(BQ93^0.5*CC93*4*4*0.66*faktorji!$B$22)+(BQ93^0.5*CD93*4*4*0.33*faktorji!$B$25)</f>
        <v>0</v>
      </c>
      <c r="CR93" s="3" t="str">
        <f t="shared" si="35"/>
        <v/>
      </c>
      <c r="CS93" s="9">
        <f>+BQ93*('MOL_tabela rezultatov'!CH93*faktorji!$B$26)+faktorji!$B$27*CG93</f>
        <v>18214.71</v>
      </c>
      <c r="CT93" s="3" t="str">
        <f t="shared" si="33"/>
        <v xml:space="preserve">energetsko upravljanje, manjši investicijski in organizacijski ukrepi, </v>
      </c>
      <c r="CU93" s="9">
        <f t="shared" si="62"/>
        <v>4553.6774999999998</v>
      </c>
      <c r="CV93" s="9">
        <f t="shared" ref="CV93:CX93" si="65">+CU93</f>
        <v>4553.6774999999998</v>
      </c>
      <c r="CW93" s="9">
        <f t="shared" si="65"/>
        <v>4553.6774999999998</v>
      </c>
      <c r="CX93" s="69">
        <f t="shared" si="65"/>
        <v>4553.6774999999998</v>
      </c>
    </row>
    <row r="94" spans="1:102" s="10" customFormat="1" ht="18" hidden="1" customHeight="1">
      <c r="A94" s="54" t="s">
        <v>217</v>
      </c>
      <c r="B94" s="3" t="s">
        <v>218</v>
      </c>
      <c r="C94" s="56"/>
      <c r="D94" s="56"/>
      <c r="E94" s="51" t="s">
        <v>1172</v>
      </c>
      <c r="F94" s="51"/>
      <c r="G94" s="51">
        <v>4</v>
      </c>
      <c r="H94" s="51"/>
      <c r="I94" s="51"/>
      <c r="J94" s="51">
        <v>7</v>
      </c>
      <c r="K94" s="37" t="s">
        <v>1243</v>
      </c>
      <c r="L94" s="50"/>
      <c r="M94" s="1" t="s">
        <v>1186</v>
      </c>
      <c r="N94" s="25"/>
      <c r="O94" s="25"/>
      <c r="P94" s="25"/>
      <c r="Q94" s="25">
        <v>16.7</v>
      </c>
      <c r="R94" s="25"/>
      <c r="S94" s="25"/>
      <c r="T94" s="25">
        <v>22.26</v>
      </c>
      <c r="U94" s="25">
        <v>22.26</v>
      </c>
      <c r="V94" s="30">
        <v>290.98039215686276</v>
      </c>
      <c r="W94" s="30">
        <v>218.30065359477123</v>
      </c>
      <c r="X94" s="31"/>
      <c r="Y94" s="31"/>
      <c r="Z94" s="31"/>
      <c r="AA94" s="31"/>
      <c r="AB94" s="31"/>
      <c r="AC94" s="31"/>
      <c r="AD94" s="31"/>
      <c r="AE94" s="32"/>
      <c r="AF94" s="1" t="s">
        <v>219</v>
      </c>
      <c r="AG94" s="4">
        <v>1938</v>
      </c>
      <c r="AH94" s="4">
        <v>1985</v>
      </c>
      <c r="AI94" s="6">
        <v>76.5</v>
      </c>
      <c r="AJ94" s="38"/>
      <c r="AK94" s="3" t="s">
        <v>211</v>
      </c>
      <c r="AL94" s="1" t="s">
        <v>127</v>
      </c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>
        <v>18.13</v>
      </c>
      <c r="BD94" s="37">
        <v>18.559999999999999</v>
      </c>
      <c r="BE94" s="37">
        <v>14.91</v>
      </c>
      <c r="BF94" s="37">
        <v>16.28</v>
      </c>
      <c r="BG94" s="42"/>
      <c r="BH94" s="42"/>
      <c r="BI94" s="42"/>
      <c r="BJ94" s="42"/>
      <c r="BK94" s="44">
        <v>0</v>
      </c>
      <c r="BL94" s="44">
        <v>16.97</v>
      </c>
      <c r="BM94" s="44">
        <f>+BK94+BL94</f>
        <v>16.97</v>
      </c>
      <c r="BN94" s="47">
        <v>0</v>
      </c>
      <c r="BO94" s="47">
        <v>308.54545454545456</v>
      </c>
      <c r="BP94" s="45">
        <v>308.54545454545456</v>
      </c>
      <c r="BQ94" s="9">
        <v>55</v>
      </c>
      <c r="BR94" s="4"/>
      <c r="BS94" s="4"/>
      <c r="BT94" s="4" t="s">
        <v>1111</v>
      </c>
      <c r="BU94" s="4"/>
      <c r="BV94" s="4"/>
      <c r="BW94" s="4"/>
      <c r="BX94" s="4" t="s">
        <v>1121</v>
      </c>
      <c r="BY94" s="9">
        <f>+INT(BK94*faktorji!$B$4)</f>
        <v>0</v>
      </c>
      <c r="BZ94" s="9">
        <f>+INT(BL94*faktorji!$B$4)</f>
        <v>2800</v>
      </c>
      <c r="CA94" s="4"/>
      <c r="CB94" s="4">
        <v>0</v>
      </c>
      <c r="CC94" s="4">
        <v>0</v>
      </c>
      <c r="CD94" s="4">
        <v>0</v>
      </c>
      <c r="CE94" s="4">
        <v>0</v>
      </c>
      <c r="CF94" s="4">
        <v>1</v>
      </c>
      <c r="CG94" s="4">
        <v>1</v>
      </c>
      <c r="CH94" s="4">
        <v>1</v>
      </c>
      <c r="CI94" s="9">
        <f>+BQ94*(CB94*faktorji!$B$21+'MOL_tabela rezultatov'!CF76*faktorji!$B$23+'MOL_tabela rezultatov'!CH76*faktorji!$B$26)+faktorji!$B$27*CG94</f>
        <v>18495</v>
      </c>
      <c r="CJ94" s="9">
        <f>+(BZ94*CF94*faktorji!$B$18)+(CG94*faktorji!$B$17*('MOL_tabela rezultatov'!BY76+'MOL_tabela rezultatov'!BZ76))+('MOL_tabela rezultatov'!CH76*faktorji!$B$16*'MOL_tabela rezultatov'!BY76)+('MOL_tabela rezultatov'!CB76*faktorji!$B$12*'MOL_tabela rezultatov'!BY76)</f>
        <v>15538.099999999999</v>
      </c>
      <c r="CK94" s="66">
        <f>+CI94/CJ94</f>
        <v>1.190299972326089</v>
      </c>
      <c r="CL94" s="3" t="str">
        <f>CONCATENATE(IF(CB94&gt;0,"kotlovnica/toplotna postaja, ",""),IF(CF94&gt;0,"razsvetljava, ",""),IF(CG94&gt;0,"energetsko upravljanje, ",""),IF(CH94&gt;0,"manjši investicijski in organizacijski ukrepi, ",""))</f>
        <v xml:space="preserve">razsvetljava, energetsko upravljanje, manjši investicijski in organizacijski ukrepi, </v>
      </c>
      <c r="CM94" s="9">
        <f>+CJ94*0.9</f>
        <v>13984.289999999999</v>
      </c>
      <c r="CN94" s="9">
        <f>+CJ94*0.9</f>
        <v>13984.289999999999</v>
      </c>
      <c r="CO94" s="9">
        <f>+CJ94*0.9</f>
        <v>13984.289999999999</v>
      </c>
      <c r="CP94" s="69">
        <f>+IF(CI94-SUM(CM94:CO94)&lt;0,0,CI94-SUM(CM94:CO94))</f>
        <v>0</v>
      </c>
      <c r="CQ94" s="9">
        <f>+(BQ94*CE94*faktorji!$B$24)+(BQ94^0.5*CC94*4*4*0.66*faktorji!$B$22)+(BQ94^0.5*CD94*4*4*0.33*faktorji!$B$25)</f>
        <v>0</v>
      </c>
      <c r="CR94" s="3" t="str">
        <f t="shared" si="35"/>
        <v/>
      </c>
      <c r="CS94" s="9">
        <f>+BQ94*('MOL_tabela rezultatov'!CH94*faktorji!$B$26)+faktorji!$B$27*CG94</f>
        <v>18082.5</v>
      </c>
      <c r="CT94" s="3" t="str">
        <f t="shared" si="33"/>
        <v xml:space="preserve">energetsko upravljanje, manjši investicijski in organizacijski ukrepi, </v>
      </c>
      <c r="CU94" s="9">
        <f t="shared" si="62"/>
        <v>4520.625</v>
      </c>
      <c r="CV94" s="9">
        <f t="shared" ref="CV94:CX94" si="66">+CU94</f>
        <v>4520.625</v>
      </c>
      <c r="CW94" s="9">
        <f t="shared" si="66"/>
        <v>4520.625</v>
      </c>
      <c r="CX94" s="69">
        <f t="shared" si="66"/>
        <v>4520.625</v>
      </c>
    </row>
    <row r="95" spans="1:102" s="10" customFormat="1" ht="18" hidden="1" customHeight="1">
      <c r="A95" s="54" t="s">
        <v>1436</v>
      </c>
      <c r="B95" s="129" t="s">
        <v>132</v>
      </c>
      <c r="C95" s="56"/>
      <c r="D95" s="56"/>
      <c r="E95" s="51" t="s">
        <v>1437</v>
      </c>
      <c r="F95" s="51"/>
      <c r="G95" s="51">
        <v>4</v>
      </c>
      <c r="H95" s="51"/>
      <c r="I95" s="51"/>
      <c r="J95" s="51">
        <v>7</v>
      </c>
      <c r="K95" s="37" t="s">
        <v>1241</v>
      </c>
      <c r="L95" s="50"/>
      <c r="M95" s="4" t="s">
        <v>7</v>
      </c>
      <c r="N95" s="25"/>
      <c r="O95" s="25"/>
      <c r="P95" s="25">
        <v>190</v>
      </c>
      <c r="Q95" s="25"/>
      <c r="R95" s="25"/>
      <c r="S95" s="25"/>
      <c r="T95" s="25">
        <v>32.745615885680451</v>
      </c>
      <c r="U95" s="25">
        <v>222.74561588568045</v>
      </c>
      <c r="V95" s="30">
        <v>26.602986339816759</v>
      </c>
      <c r="W95" s="30">
        <v>154.35859939881385</v>
      </c>
      <c r="X95" s="31"/>
      <c r="Y95" s="31"/>
      <c r="Z95" s="31">
        <v>190</v>
      </c>
      <c r="AA95" s="31"/>
      <c r="AB95" s="31"/>
      <c r="AC95" s="31"/>
      <c r="AD95" s="31"/>
      <c r="AE95" s="32">
        <v>154.35859939881385</v>
      </c>
      <c r="AF95" s="1" t="s">
        <v>273</v>
      </c>
      <c r="AG95" s="4">
        <v>1991</v>
      </c>
      <c r="AH95" s="4" t="s">
        <v>274</v>
      </c>
      <c r="AI95" s="14">
        <v>1230.9000000000001</v>
      </c>
      <c r="AJ95" s="38">
        <v>100</v>
      </c>
      <c r="AK95" s="16" t="s">
        <v>275</v>
      </c>
      <c r="AL95" s="1" t="s">
        <v>202</v>
      </c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7"/>
      <c r="BB95" s="37"/>
      <c r="BC95" s="37"/>
      <c r="BD95" s="37"/>
      <c r="BE95" s="37"/>
      <c r="BF95" s="37"/>
      <c r="BG95" s="42"/>
      <c r="BH95" s="42"/>
      <c r="BI95" s="42">
        <v>190</v>
      </c>
      <c r="BJ95" s="42"/>
      <c r="BK95" s="44">
        <v>190</v>
      </c>
      <c r="BL95" s="44">
        <v>28.92615</v>
      </c>
      <c r="BM95" s="44">
        <f>+BK95+BL95</f>
        <v>218.92615000000001</v>
      </c>
      <c r="BN95" s="47">
        <v>154.35859939881385</v>
      </c>
      <c r="BO95" s="47">
        <v>23.5</v>
      </c>
      <c r="BP95" s="45">
        <v>177.85859939881385</v>
      </c>
      <c r="BQ95" s="14">
        <v>1230.9000000000001</v>
      </c>
      <c r="BR95" s="4"/>
      <c r="BS95" s="4"/>
      <c r="BT95" s="4"/>
      <c r="BU95" s="4"/>
      <c r="BV95" s="4"/>
      <c r="BW95" s="4"/>
      <c r="BX95" s="4"/>
      <c r="BY95" s="9">
        <f>+INT(BK95*faktorji!$B$6)</f>
        <v>23750</v>
      </c>
      <c r="BZ95" s="9">
        <f>+INT(BL95*faktorji!$B$4)</f>
        <v>4772</v>
      </c>
      <c r="CA95" s="4"/>
      <c r="CB95" s="4">
        <v>0</v>
      </c>
      <c r="CC95" s="4">
        <v>0</v>
      </c>
      <c r="CD95" s="4">
        <v>0</v>
      </c>
      <c r="CE95" s="4">
        <v>0</v>
      </c>
      <c r="CF95" s="4">
        <v>1</v>
      </c>
      <c r="CG95" s="4">
        <v>1</v>
      </c>
      <c r="CH95" s="4">
        <v>1</v>
      </c>
      <c r="CI95" s="9">
        <f>+BQ95*(CB95*faktorji!$B$21+'MOL_tabela rezultatov'!CF106*faktorji!$B$23+'MOL_tabela rezultatov'!CH106*faktorji!$B$26)+faktorji!$B$27*CG95</f>
        <v>19846.349999999999</v>
      </c>
      <c r="CJ95" s="9">
        <f>+(BZ95*CF95*faktorji!$B$18)+(CG95*faktorji!$B$17*('MOL_tabela rezultatov'!BY106+'MOL_tabela rezultatov'!BZ106))+('MOL_tabela rezultatov'!CH106*faktorji!$B$16*'MOL_tabela rezultatov'!BY106)+('MOL_tabela rezultatov'!CB106*faktorji!$B$12*'MOL_tabela rezultatov'!BY106)</f>
        <v>9420</v>
      </c>
      <c r="CK95" s="66">
        <f>+CI95/CJ95</f>
        <v>2.1068312101910824</v>
      </c>
      <c r="CL95" s="3" t="str">
        <f>CONCATENATE(IF(CB95&gt;0,"kotlovnica/toplotna postaja, ",""),IF(CF95&gt;0,"razsvetljava, ",""),IF(CG95&gt;0,"energetsko upravljanje, ",""),IF(CH95&gt;0,"manjši investicijski in organizacijski ukrepi, ",""))</f>
        <v xml:space="preserve">razsvetljava, energetsko upravljanje, manjši investicijski in organizacijski ukrepi, </v>
      </c>
      <c r="CM95" s="9">
        <f>+CJ95*0.9</f>
        <v>8478</v>
      </c>
      <c r="CN95" s="9">
        <f>+CJ95*0.9</f>
        <v>8478</v>
      </c>
      <c r="CO95" s="9">
        <f>+CJ95*0.9</f>
        <v>8478</v>
      </c>
      <c r="CP95" s="69">
        <f>+IF(CI95-SUM(CM95:CO95)&lt;0,0,CI95-SUM(CM95:CO95))</f>
        <v>0</v>
      </c>
      <c r="CQ95" s="9">
        <f>+(BQ95*CE95*faktorji!$B$24)+(BQ95^0.5*CC95*4*4*0.66*faktorji!$B$22)+(BQ95^0.5*CD95*4*4*0.33*faktorji!$B$25)</f>
        <v>0</v>
      </c>
      <c r="CR95" s="3" t="str">
        <f t="shared" si="35"/>
        <v/>
      </c>
      <c r="CS95" s="9">
        <f>+BQ95*('MOL_tabela rezultatov'!CH95*faktorji!$B$26)+faktorji!$B$27*CG95</f>
        <v>19846.349999999999</v>
      </c>
      <c r="CT95" s="3" t="str">
        <f t="shared" si="33"/>
        <v xml:space="preserve">energetsko upravljanje, manjši investicijski in organizacijski ukrepi, </v>
      </c>
      <c r="CU95" s="9">
        <f t="shared" si="62"/>
        <v>4961.5874999999996</v>
      </c>
      <c r="CV95" s="9">
        <f t="shared" ref="CV95:CX95" si="67">+CU95</f>
        <v>4961.5874999999996</v>
      </c>
      <c r="CW95" s="9">
        <f t="shared" si="67"/>
        <v>4961.5874999999996</v>
      </c>
      <c r="CX95" s="69">
        <f t="shared" si="67"/>
        <v>4961.5874999999996</v>
      </c>
    </row>
    <row r="96" spans="1:102" s="10" customFormat="1" ht="18" hidden="1" customHeight="1">
      <c r="A96" s="54" t="s">
        <v>131</v>
      </c>
      <c r="B96" s="129" t="s">
        <v>132</v>
      </c>
      <c r="C96" s="56"/>
      <c r="D96" s="56"/>
      <c r="E96" s="51" t="s">
        <v>1169</v>
      </c>
      <c r="F96" s="51"/>
      <c r="G96" s="51">
        <v>4</v>
      </c>
      <c r="H96" s="51"/>
      <c r="I96" s="51"/>
      <c r="J96" s="51">
        <v>6</v>
      </c>
      <c r="K96" s="37" t="s">
        <v>1242</v>
      </c>
      <c r="L96" s="50"/>
      <c r="M96" s="5" t="s">
        <v>7</v>
      </c>
      <c r="N96" s="25"/>
      <c r="O96" s="25"/>
      <c r="P96" s="25">
        <v>18.365282456140349</v>
      </c>
      <c r="Q96" s="25"/>
      <c r="R96" s="25"/>
      <c r="S96" s="25"/>
      <c r="T96" s="25">
        <v>7.2420824561403503</v>
      </c>
      <c r="U96" s="25">
        <v>25.607364912280701</v>
      </c>
      <c r="V96" s="30">
        <v>45.835964912280694</v>
      </c>
      <c r="W96" s="30">
        <v>116.23596491228069</v>
      </c>
      <c r="X96" s="31"/>
      <c r="Y96" s="31"/>
      <c r="Z96" s="31"/>
      <c r="AA96" s="31"/>
      <c r="AB96" s="31"/>
      <c r="AC96" s="31"/>
      <c r="AD96" s="31"/>
      <c r="AE96" s="32">
        <v>0</v>
      </c>
      <c r="AF96" s="1"/>
      <c r="AG96" s="4"/>
      <c r="AH96" s="4"/>
      <c r="AI96" s="6">
        <v>158</v>
      </c>
      <c r="AJ96" s="38">
        <v>100</v>
      </c>
      <c r="AK96" s="34" t="s">
        <v>133</v>
      </c>
      <c r="AL96" s="1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  <c r="BF96" s="37"/>
      <c r="BG96" s="42"/>
      <c r="BH96" s="42">
        <v>19.886800000000001</v>
      </c>
      <c r="BI96" s="42"/>
      <c r="BJ96" s="42"/>
      <c r="BK96" s="44">
        <v>19.886800000000001</v>
      </c>
      <c r="BL96" s="44">
        <v>15.205599999999999</v>
      </c>
      <c r="BM96" s="44">
        <f>+BK96+BL96</f>
        <v>35.092399999999998</v>
      </c>
      <c r="BN96" s="47">
        <v>119.8</v>
      </c>
      <c r="BO96" s="47">
        <v>91.6</v>
      </c>
      <c r="BP96" s="45">
        <v>211.39999999999998</v>
      </c>
      <c r="BQ96" s="9">
        <v>166</v>
      </c>
      <c r="BR96" s="4"/>
      <c r="BS96" s="4"/>
      <c r="BT96" s="4" t="s">
        <v>897</v>
      </c>
      <c r="BU96" s="4" t="s">
        <v>1105</v>
      </c>
      <c r="BV96" s="4"/>
      <c r="BW96" s="4"/>
      <c r="BX96" s="4"/>
      <c r="BY96" s="9">
        <f>+INT(BK96*faktorji!$B$6)</f>
        <v>2485</v>
      </c>
      <c r="BZ96" s="9">
        <f>+INT(BL96*faktorji!$B$4)</f>
        <v>2508</v>
      </c>
      <c r="CA96" s="4"/>
      <c r="CB96" s="4">
        <v>0</v>
      </c>
      <c r="CC96" s="4">
        <v>0</v>
      </c>
      <c r="CD96" s="4">
        <v>0</v>
      </c>
      <c r="CE96" s="4">
        <v>0</v>
      </c>
      <c r="CF96" s="4">
        <v>1</v>
      </c>
      <c r="CG96" s="4">
        <v>1</v>
      </c>
      <c r="CH96" s="4">
        <v>1</v>
      </c>
      <c r="CI96" s="9">
        <f>+BQ96*(CB96*faktorji!$B$21+'MOL_tabela rezultatov'!CF45*faktorji!$B$23+'MOL_tabela rezultatov'!CH45*faktorji!$B$26)+faktorji!$B$27*CG96</f>
        <v>18249</v>
      </c>
      <c r="CJ96" s="9">
        <f>+(BZ96*CF96*faktorji!$B$18)+(CG96*faktorji!$B$17*('MOL_tabela rezultatov'!BY45+'MOL_tabela rezultatov'!BZ45))+('MOL_tabela rezultatov'!CH45*faktorji!$B$16*'MOL_tabela rezultatov'!BY45)+('MOL_tabela rezultatov'!CB45*faktorji!$B$12*'MOL_tabela rezultatov'!BY45)</f>
        <v>5563.6</v>
      </c>
      <c r="CK96" s="66">
        <f>+CI96/CJ96</f>
        <v>3.2800704579768492</v>
      </c>
      <c r="CL96" s="3" t="str">
        <f>CONCATENATE(IF(CB96&gt;0,"kotlovnica/toplotna postaja, ",""),IF(CF96&gt;0,"razsvetljava, ",""),IF(CG96&gt;0,"energetsko upravljanje, ",""),IF(CH96&gt;0,"manjši investicijski in organizacijski ukrepi, ",""))</f>
        <v xml:space="preserve">razsvetljava, energetsko upravljanje, manjši investicijski in organizacijski ukrepi, </v>
      </c>
      <c r="CM96" s="9">
        <f>+CJ96*0.9</f>
        <v>5007.2400000000007</v>
      </c>
      <c r="CN96" s="9">
        <f>+CJ96*0.9</f>
        <v>5007.2400000000007</v>
      </c>
      <c r="CO96" s="9">
        <f>+CJ96*0.9</f>
        <v>5007.2400000000007</v>
      </c>
      <c r="CP96" s="69">
        <f>+IF(CI96-SUM(CM96:CO96)&lt;0,0,CI96-SUM(CM96:CO96))</f>
        <v>3227.2799999999988</v>
      </c>
      <c r="CQ96" s="9">
        <f>+(BQ96*CE96*faktorji!$B$24)+(BQ96^0.5*CC96*4*4*0.66*faktorji!$B$22)+(BQ96^0.5*CD96*4*4*0.33*faktorji!$B$25)</f>
        <v>0</v>
      </c>
      <c r="CR96" s="3" t="str">
        <f t="shared" si="35"/>
        <v/>
      </c>
      <c r="CS96" s="9">
        <f>+BQ96*('MOL_tabela rezultatov'!CH96*faktorji!$B$26)+faktorji!$B$27*CG96</f>
        <v>18249</v>
      </c>
      <c r="CT96" s="3" t="str">
        <f t="shared" si="33"/>
        <v xml:space="preserve">energetsko upravljanje, manjši investicijski in organizacijski ukrepi, </v>
      </c>
      <c r="CU96" s="9">
        <f t="shared" si="62"/>
        <v>4562.25</v>
      </c>
      <c r="CV96" s="9">
        <f t="shared" ref="CV96:CX96" si="68">+CU96</f>
        <v>4562.25</v>
      </c>
      <c r="CW96" s="9">
        <f t="shared" si="68"/>
        <v>4562.25</v>
      </c>
      <c r="CX96" s="69">
        <f t="shared" si="68"/>
        <v>4562.25</v>
      </c>
    </row>
    <row r="97" spans="1:102" s="10" customFormat="1" ht="18" customHeight="1">
      <c r="A97" s="117" t="s">
        <v>435</v>
      </c>
      <c r="B97" s="146" t="s">
        <v>436</v>
      </c>
      <c r="C97" s="57"/>
      <c r="D97" s="57"/>
      <c r="E97" s="51" t="s">
        <v>1175</v>
      </c>
      <c r="F97" s="51"/>
      <c r="G97" s="51">
        <v>2</v>
      </c>
      <c r="H97" s="51" t="s">
        <v>1249</v>
      </c>
      <c r="I97" s="51"/>
      <c r="J97" s="51">
        <v>2</v>
      </c>
      <c r="K97" s="37" t="s">
        <v>1243</v>
      </c>
      <c r="L97" s="50"/>
      <c r="M97" s="4" t="s">
        <v>6</v>
      </c>
      <c r="N97" s="25"/>
      <c r="O97" s="25">
        <v>549</v>
      </c>
      <c r="P97" s="25"/>
      <c r="Q97" s="25"/>
      <c r="R97" s="25"/>
      <c r="S97" s="25"/>
      <c r="T97" s="25">
        <v>104.054</v>
      </c>
      <c r="U97" s="25">
        <v>653.05399999999997</v>
      </c>
      <c r="V97" s="30">
        <v>23.659390632105502</v>
      </c>
      <c r="W97" s="30">
        <v>124.82946793997272</v>
      </c>
      <c r="X97" s="31"/>
      <c r="Y97" s="31"/>
      <c r="Z97" s="31"/>
      <c r="AA97" s="31"/>
      <c r="AB97" s="31"/>
      <c r="AC97" s="31"/>
      <c r="AD97" s="31"/>
      <c r="AE97" s="32"/>
      <c r="AF97" s="16" t="s">
        <v>437</v>
      </c>
      <c r="AG97" s="3">
        <v>1991</v>
      </c>
      <c r="AH97" s="4"/>
      <c r="AI97" s="6">
        <v>4398</v>
      </c>
      <c r="AJ97" s="38">
        <v>100</v>
      </c>
      <c r="AK97" s="3"/>
      <c r="AL97" s="1" t="s">
        <v>438</v>
      </c>
      <c r="AM97" s="37"/>
      <c r="AN97" s="37"/>
      <c r="AO97" s="37"/>
      <c r="AP97" s="37"/>
      <c r="AQ97" s="37">
        <f>(62431*9.5)/1000</f>
        <v>593.09450000000004</v>
      </c>
      <c r="AR97" s="37">
        <f>(68298*9.5)/1000</f>
        <v>648.83100000000002</v>
      </c>
      <c r="AS97" s="37">
        <f>(61314*9.5)/1000</f>
        <v>582.48299999999995</v>
      </c>
      <c r="AT97" s="37">
        <f>(60721*9.5)/1000</f>
        <v>576.84950000000003</v>
      </c>
      <c r="AU97" s="37"/>
      <c r="AV97" s="37"/>
      <c r="AW97" s="37"/>
      <c r="AX97" s="37"/>
      <c r="AY97" s="37"/>
      <c r="AZ97" s="37"/>
      <c r="BA97" s="37"/>
      <c r="BB97" s="37"/>
      <c r="BC97" s="37">
        <v>92.4</v>
      </c>
      <c r="BD97" s="37">
        <v>92.68</v>
      </c>
      <c r="BE97" s="37">
        <v>88.13</v>
      </c>
      <c r="BF97" s="37">
        <v>89.14</v>
      </c>
      <c r="BG97" s="42"/>
      <c r="BH97" s="42">
        <v>600.31449999999995</v>
      </c>
      <c r="BI97" s="42"/>
      <c r="BJ97" s="42"/>
      <c r="BK97" s="44">
        <v>600.31449999999995</v>
      </c>
      <c r="BL97" s="44">
        <v>90.587500000000006</v>
      </c>
      <c r="BM97" s="44">
        <f>+BK97+BL97</f>
        <v>690.90199999999993</v>
      </c>
      <c r="BN97" s="47">
        <v>200.77408026755853</v>
      </c>
      <c r="BO97" s="47">
        <v>30.296822742474916</v>
      </c>
      <c r="BP97" s="45">
        <v>231.07090301003342</v>
      </c>
      <c r="BQ97" s="9">
        <v>2990</v>
      </c>
      <c r="BR97" s="4" t="s">
        <v>437</v>
      </c>
      <c r="BS97" s="4">
        <v>1991</v>
      </c>
      <c r="BT97" s="4" t="s">
        <v>872</v>
      </c>
      <c r="BU97" s="4"/>
      <c r="BV97" s="1" t="s">
        <v>1003</v>
      </c>
      <c r="BW97" s="4"/>
      <c r="BX97" s="4" t="s">
        <v>969</v>
      </c>
      <c r="BY97" s="9">
        <f>+INT(BK97*faktorji!$B$5)</f>
        <v>57029</v>
      </c>
      <c r="BZ97" s="9">
        <f>+INT(BL97*faktorji!$B$4)</f>
        <v>14946</v>
      </c>
      <c r="CA97" s="3" t="s">
        <v>1300</v>
      </c>
      <c r="CB97" s="4">
        <v>1</v>
      </c>
      <c r="CC97" s="4">
        <v>0.5</v>
      </c>
      <c r="CD97" s="4">
        <v>0.5</v>
      </c>
      <c r="CE97" s="4">
        <v>0</v>
      </c>
      <c r="CF97" s="4">
        <v>1</v>
      </c>
      <c r="CG97" s="4">
        <v>1</v>
      </c>
      <c r="CH97" s="4">
        <v>0</v>
      </c>
      <c r="CI97" s="9">
        <f>+BQ97*(CB97*faktorji!$B$21+'MOL_tabela rezultatov'!CF171*faktorji!$B$23+'MOL_tabela rezultatov'!CH171*faktorji!$B$26)+faktorji!$B$27*CG97</f>
        <v>112185</v>
      </c>
      <c r="CJ97" s="9">
        <f>+(BZ97*CF97*faktorji!$B$18)+(CG97*faktorji!$B$17*('MOL_tabela rezultatov'!BY171+'MOL_tabela rezultatov'!BZ171))+('MOL_tabela rezultatov'!CH171*faktorji!$B$16*'MOL_tabela rezultatov'!BY171)+('MOL_tabela rezultatov'!CB171*faktorji!$B$12*'MOL_tabela rezultatov'!BY171)</f>
        <v>10525.7</v>
      </c>
      <c r="CK97" s="66">
        <f>+CI97/CJ97</f>
        <v>10.658198504612519</v>
      </c>
      <c r="CL97" s="3" t="str">
        <f>CONCATENATE(IF(CB97&gt;0,"kotlovnica/toplotna postaja, ",""),IF(CF97&gt;0,"razsvetljava, ",""),IF(CG97&gt;0,"energetsko upravljanje, ",""),IF(CH97&gt;0,"manjši investicijski in organizacijski ukrepi, ",""))</f>
        <v xml:space="preserve">kotlovnica/toplotna postaja, razsvetljava, energetsko upravljanje, </v>
      </c>
      <c r="CM97" s="9">
        <f>+CJ97*0.9</f>
        <v>9473.130000000001</v>
      </c>
      <c r="CN97" s="9">
        <f>+CJ97*0.9</f>
        <v>9473.130000000001</v>
      </c>
      <c r="CO97" s="9">
        <f>+CJ97*0.9</f>
        <v>9473.130000000001</v>
      </c>
      <c r="CP97" s="69">
        <f>+IF(CI97-SUM(CM97:CO97)&lt;0,0,CI97-SUM(CM97:CO97))</f>
        <v>83765.61</v>
      </c>
      <c r="CQ97" s="9">
        <f>+(BQ97*CE97*faktorji!$B$24)+(BQ97^0.5*CC97*4*4*0.66*faktorji!$B$22)+(BQ97^0.5*CD97*4*4*0.33*faktorji!$B$25)</f>
        <v>56299.446874725159</v>
      </c>
      <c r="CR97" s="3" t="str">
        <f t="shared" si="35"/>
        <v xml:space="preserve">izolacija ovoja, stavbno pohištvo, </v>
      </c>
      <c r="CS97" s="9">
        <f>+BQ97*('MOL_tabela rezultatov'!CH97*faktorji!$B$26)+faktorji!$B$27*CG97</f>
        <v>18000</v>
      </c>
      <c r="CT97" s="3" t="str">
        <f t="shared" si="33"/>
        <v xml:space="preserve">energetsko upravljanje, </v>
      </c>
      <c r="CU97" s="9">
        <f t="shared" si="62"/>
        <v>4500</v>
      </c>
      <c r="CV97" s="9">
        <f t="shared" ref="CV97:CX97" si="69">+CU97</f>
        <v>4500</v>
      </c>
      <c r="CW97" s="9">
        <f t="shared" si="69"/>
        <v>4500</v>
      </c>
      <c r="CX97" s="69">
        <f t="shared" si="69"/>
        <v>4500</v>
      </c>
    </row>
    <row r="98" spans="1:102" s="10" customFormat="1" ht="18" hidden="1" customHeight="1">
      <c r="A98" s="54" t="s">
        <v>767</v>
      </c>
      <c r="B98" s="3" t="s">
        <v>768</v>
      </c>
      <c r="C98" s="56"/>
      <c r="D98" s="56"/>
      <c r="E98" s="51" t="s">
        <v>1176</v>
      </c>
      <c r="F98" s="51"/>
      <c r="G98" s="51" t="s">
        <v>1366</v>
      </c>
      <c r="H98" s="51" t="s">
        <v>1255</v>
      </c>
      <c r="I98" s="78" t="s">
        <v>1334</v>
      </c>
      <c r="J98" s="51">
        <v>1</v>
      </c>
      <c r="K98" s="37" t="s">
        <v>1243</v>
      </c>
      <c r="L98" s="50">
        <v>2014</v>
      </c>
      <c r="M98" s="110" t="s">
        <v>7</v>
      </c>
      <c r="N98" s="25"/>
      <c r="O98" s="25"/>
      <c r="P98" s="25">
        <v>266.60000000000002</v>
      </c>
      <c r="Q98" s="25"/>
      <c r="R98" s="25"/>
      <c r="S98" s="25"/>
      <c r="T98" s="25">
        <v>39.456734235581123</v>
      </c>
      <c r="U98" s="25">
        <v>306.05673423558113</v>
      </c>
      <c r="V98" s="30">
        <v>31.819946964178321</v>
      </c>
      <c r="W98" s="30">
        <v>215</v>
      </c>
      <c r="X98" s="31"/>
      <c r="Y98" s="31"/>
      <c r="Z98" s="31"/>
      <c r="AA98" s="31"/>
      <c r="AB98" s="31"/>
      <c r="AC98" s="31"/>
      <c r="AD98" s="31"/>
      <c r="AE98" s="32"/>
      <c r="AF98" s="16"/>
      <c r="AG98" s="3"/>
      <c r="AH98" s="4"/>
      <c r="AI98" s="6">
        <v>1240</v>
      </c>
      <c r="AJ98" s="38">
        <v>100</v>
      </c>
      <c r="AK98" s="3"/>
      <c r="AL98" s="1"/>
      <c r="AM98" s="37"/>
      <c r="AN98" s="37"/>
      <c r="AO98" s="37"/>
      <c r="AP98" s="37"/>
      <c r="AQ98" s="37"/>
      <c r="AR98" s="37"/>
      <c r="AS98" s="37"/>
      <c r="AT98" s="37"/>
      <c r="AU98" s="37">
        <v>260</v>
      </c>
      <c r="AV98" s="37">
        <v>260</v>
      </c>
      <c r="AW98" s="37">
        <v>276</v>
      </c>
      <c r="AX98" s="37">
        <v>267</v>
      </c>
      <c r="AY98" s="37"/>
      <c r="AZ98" s="37"/>
      <c r="BA98" s="37"/>
      <c r="BB98" s="37"/>
      <c r="BC98" s="37">
        <v>106.8</v>
      </c>
      <c r="BD98" s="37">
        <v>86.6</v>
      </c>
      <c r="BE98" s="37">
        <v>87.9</v>
      </c>
      <c r="BF98" s="37">
        <v>88.2</v>
      </c>
      <c r="BG98" s="42"/>
      <c r="BH98" s="42"/>
      <c r="BI98" s="42">
        <v>265.75</v>
      </c>
      <c r="BJ98" s="42"/>
      <c r="BK98" s="107">
        <v>265.75</v>
      </c>
      <c r="BL98" s="107">
        <v>96.7</v>
      </c>
      <c r="BM98" s="107">
        <f>+BK98+BL98</f>
        <v>362.45</v>
      </c>
      <c r="BN98" s="108">
        <f>+BK98*1000/BQ98</f>
        <v>191.18705035971223</v>
      </c>
      <c r="BO98" s="108">
        <f>+BL98*1000/BQ98</f>
        <v>69.568345323741013</v>
      </c>
      <c r="BP98" s="109">
        <f>+BO98+BN98</f>
        <v>260.75539568345323</v>
      </c>
      <c r="BQ98" s="106">
        <v>1390</v>
      </c>
      <c r="BR98" s="114" t="s">
        <v>1424</v>
      </c>
      <c r="BS98" s="4"/>
      <c r="BT98" s="1" t="s">
        <v>947</v>
      </c>
      <c r="BU98" s="4" t="s">
        <v>948</v>
      </c>
      <c r="BV98" s="4" t="s">
        <v>873</v>
      </c>
      <c r="BW98" s="4" t="s">
        <v>874</v>
      </c>
      <c r="BX98" s="4" t="s">
        <v>949</v>
      </c>
      <c r="BY98" s="106">
        <v>1580</v>
      </c>
      <c r="BZ98" s="106">
        <v>12555</v>
      </c>
      <c r="CA98" s="114" t="s">
        <v>1329</v>
      </c>
      <c r="CB98" s="4">
        <v>0</v>
      </c>
      <c r="CC98" s="4">
        <v>0</v>
      </c>
      <c r="CD98" s="4">
        <v>0</v>
      </c>
      <c r="CE98" s="4">
        <v>0</v>
      </c>
      <c r="CF98" s="4">
        <v>0</v>
      </c>
      <c r="CG98" s="4">
        <v>0</v>
      </c>
      <c r="CH98" s="4">
        <v>0</v>
      </c>
      <c r="CI98" s="106">
        <v>36000</v>
      </c>
      <c r="CJ98" s="106">
        <v>4400</v>
      </c>
      <c r="CK98" s="115">
        <f>+CI98/CJ98</f>
        <v>8.1818181818181817</v>
      </c>
      <c r="CL98" s="3" t="str">
        <f>CONCATENATE(IF(CB98&gt;0,"kotlovnica/toplotna postaja, ",""),IF(CF98&gt;0,"razsvetljava, ",""),IF(CG98&gt;0,"energetsko upravljanje, ",""),IF(CH98&gt;0,"manjši investicijski in organizacijski ukrepi, ",""))</f>
        <v/>
      </c>
      <c r="CM98" s="9">
        <f>+CJ98*0.9</f>
        <v>3960</v>
      </c>
      <c r="CN98" s="9">
        <f>+CJ98*0.9</f>
        <v>3960</v>
      </c>
      <c r="CO98" s="9">
        <f>+CJ98*0.9</f>
        <v>3960</v>
      </c>
      <c r="CP98" s="69">
        <f>+IF(CI98-SUM(CM98:CO98)&lt;0,0,CI98-SUM(CM98:CO98))</f>
        <v>24120</v>
      </c>
      <c r="CQ98" s="9">
        <f>+(BQ98*CE98*faktorji!$B$24)+(BQ98^0.5*CC98*4*4*0.66*faktorji!$B$22)+(BQ98^0.5*CD98*4*4*0.33*faktorji!$B$25)</f>
        <v>0</v>
      </c>
      <c r="CR98" s="3" t="str">
        <f t="shared" si="35"/>
        <v/>
      </c>
      <c r="CS98" s="9">
        <f>+BQ98*('MOL_tabela rezultatov'!CH98*faktorji!$B$26)+faktorji!$B$27*CG98</f>
        <v>0</v>
      </c>
      <c r="CT98" s="3" t="str">
        <f t="shared" si="33"/>
        <v/>
      </c>
      <c r="CU98" s="9">
        <f t="shared" si="62"/>
        <v>0</v>
      </c>
      <c r="CV98" s="9">
        <f t="shared" ref="CV98:CX98" si="70">+CU98</f>
        <v>0</v>
      </c>
      <c r="CW98" s="9">
        <f t="shared" si="70"/>
        <v>0</v>
      </c>
      <c r="CX98" s="69">
        <f t="shared" si="70"/>
        <v>0</v>
      </c>
    </row>
    <row r="99" spans="1:102" s="10" customFormat="1" ht="18" hidden="1" customHeight="1">
      <c r="A99" s="54" t="s">
        <v>1107</v>
      </c>
      <c r="B99" s="130" t="s">
        <v>118</v>
      </c>
      <c r="C99" s="56"/>
      <c r="D99" s="56"/>
      <c r="E99" s="51" t="s">
        <v>1169</v>
      </c>
      <c r="F99" s="51"/>
      <c r="G99" s="51">
        <v>4</v>
      </c>
      <c r="H99" s="51"/>
      <c r="I99" s="51"/>
      <c r="J99" s="51">
        <v>7</v>
      </c>
      <c r="K99" s="37" t="s">
        <v>1244</v>
      </c>
      <c r="L99" s="50"/>
      <c r="M99" s="4" t="s">
        <v>5</v>
      </c>
      <c r="N99" s="25"/>
      <c r="O99" s="25"/>
      <c r="P99" s="25"/>
      <c r="Q99" s="25"/>
      <c r="R99" s="25"/>
      <c r="S99" s="25"/>
      <c r="T99" s="25"/>
      <c r="U99" s="25">
        <v>0</v>
      </c>
      <c r="V99" s="30"/>
      <c r="W99" s="30"/>
      <c r="X99" s="31"/>
      <c r="Y99" s="31"/>
      <c r="Z99" s="31"/>
      <c r="AA99" s="31"/>
      <c r="AB99" s="31"/>
      <c r="AC99" s="31"/>
      <c r="AD99" s="31"/>
      <c r="AE99" s="32"/>
      <c r="AF99" s="1"/>
      <c r="AG99" s="4"/>
      <c r="AH99" s="4"/>
      <c r="AI99" s="6"/>
      <c r="AJ99" s="38"/>
      <c r="AK99" s="3"/>
      <c r="AL99" s="1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42"/>
      <c r="BH99" s="42"/>
      <c r="BI99" s="42"/>
      <c r="BJ99" s="42"/>
      <c r="BK99" s="44"/>
      <c r="BL99" s="44"/>
      <c r="BM99" s="44">
        <f>+BK99+BL99</f>
        <v>0</v>
      </c>
      <c r="BN99" s="47"/>
      <c r="BO99" s="47"/>
      <c r="BP99" s="45"/>
      <c r="BQ99" s="9"/>
      <c r="BR99" s="4"/>
      <c r="BS99" s="4"/>
      <c r="BT99" s="4"/>
      <c r="BU99" s="4"/>
      <c r="BV99" s="4"/>
      <c r="BW99" s="4"/>
      <c r="BX99" s="4" t="s">
        <v>1108</v>
      </c>
      <c r="BY99" s="9">
        <f>+INT(BK99*faktorji!$B$3)</f>
        <v>0</v>
      </c>
      <c r="BZ99" s="9">
        <f>+INT(BL99*faktorji!$B$4)</f>
        <v>0</v>
      </c>
      <c r="CA99" s="4"/>
      <c r="CB99" s="4">
        <v>0</v>
      </c>
      <c r="CC99" s="4">
        <v>0</v>
      </c>
      <c r="CD99" s="4">
        <v>0</v>
      </c>
      <c r="CE99" s="4">
        <v>0</v>
      </c>
      <c r="CF99" s="4">
        <v>1</v>
      </c>
      <c r="CG99" s="4">
        <v>1</v>
      </c>
      <c r="CH99" s="4">
        <v>1</v>
      </c>
      <c r="CI99" s="9">
        <f>+BQ99*(CB99*faktorji!$B$21+'MOL_tabela rezultatov'!CF60*faktorji!$B$23+'MOL_tabela rezultatov'!CH60*faktorji!$B$26)+faktorji!$B$27*CG99</f>
        <v>18000</v>
      </c>
      <c r="CJ99" s="9">
        <f>+(BZ99*CF99*faktorji!$B$18)+(CG99*faktorji!$B$17*('MOL_tabela rezultatov'!BY60+'MOL_tabela rezultatov'!BZ60))+('MOL_tabela rezultatov'!CH60*faktorji!$B$16*'MOL_tabela rezultatov'!BY60)+('MOL_tabela rezultatov'!CB60*faktorji!$B$12*'MOL_tabela rezultatov'!BY60)</f>
        <v>382.4</v>
      </c>
      <c r="CK99" s="66">
        <f>+CI99/CJ99</f>
        <v>47.071129707112974</v>
      </c>
      <c r="CL99" s="3" t="str">
        <f>CONCATENATE(IF(CB99&gt;0,"kotlovnica/toplotna postaja, ",""),IF(CF99&gt;0,"razsvetljava, ",""),IF(CG99&gt;0,"energetsko upravljanje, ",""),IF(CH99&gt;0,"manjši investicijski in organizacijski ukrepi, ",""))</f>
        <v xml:space="preserve">razsvetljava, energetsko upravljanje, manjši investicijski in organizacijski ukrepi, </v>
      </c>
      <c r="CM99" s="9">
        <f>+CJ99*0.9</f>
        <v>344.15999999999997</v>
      </c>
      <c r="CN99" s="9">
        <f>+CJ99*0.9</f>
        <v>344.15999999999997</v>
      </c>
      <c r="CO99" s="9">
        <f>+CJ99*0.9</f>
        <v>344.15999999999997</v>
      </c>
      <c r="CP99" s="69">
        <f>+IF(CI99-SUM(CM99:CO99)&lt;0,0,CI99-SUM(CM99:CO99))</f>
        <v>16967.52</v>
      </c>
      <c r="CQ99" s="9">
        <f>+(BQ99*CE99*faktorji!$B$24)+(BQ99^0.5*CC99*4*4*0.66*faktorji!$B$22)+(BQ99^0.5*CD99*4*4*0.33*faktorji!$B$25)</f>
        <v>0</v>
      </c>
      <c r="CR99" s="3" t="str">
        <f t="shared" si="35"/>
        <v/>
      </c>
      <c r="CS99" s="9">
        <f>+BQ99*('MOL_tabela rezultatov'!CH99*faktorji!$B$26)+faktorji!$B$27*CG99</f>
        <v>18000</v>
      </c>
      <c r="CT99" s="3" t="str">
        <f t="shared" si="33"/>
        <v xml:space="preserve">energetsko upravljanje, manjši investicijski in organizacijski ukrepi, </v>
      </c>
      <c r="CU99" s="9">
        <f t="shared" si="62"/>
        <v>4500</v>
      </c>
      <c r="CV99" s="9">
        <f t="shared" ref="CV99:CX99" si="71">+CU99</f>
        <v>4500</v>
      </c>
      <c r="CW99" s="9">
        <f t="shared" si="71"/>
        <v>4500</v>
      </c>
      <c r="CX99" s="69">
        <f t="shared" si="71"/>
        <v>4500</v>
      </c>
    </row>
    <row r="100" spans="1:102" s="10" customFormat="1" ht="18" hidden="1" customHeight="1">
      <c r="A100" s="54" t="s">
        <v>117</v>
      </c>
      <c r="B100" s="130" t="s">
        <v>118</v>
      </c>
      <c r="C100" s="56"/>
      <c r="D100" s="56"/>
      <c r="E100" s="51" t="s">
        <v>1169</v>
      </c>
      <c r="F100" s="51"/>
      <c r="G100" s="51">
        <v>4</v>
      </c>
      <c r="H100" s="51"/>
      <c r="I100" s="51"/>
      <c r="J100" s="51">
        <v>6</v>
      </c>
      <c r="K100" s="37" t="s">
        <v>1243</v>
      </c>
      <c r="L100" s="50"/>
      <c r="M100" s="4" t="s">
        <v>5</v>
      </c>
      <c r="N100" s="25">
        <v>270.06</v>
      </c>
      <c r="O100" s="25"/>
      <c r="P100" s="25"/>
      <c r="Q100" s="25"/>
      <c r="R100" s="25"/>
      <c r="S100" s="25"/>
      <c r="T100" s="25">
        <v>287.02</v>
      </c>
      <c r="U100" s="25">
        <v>557.07999999999993</v>
      </c>
      <c r="V100" s="30">
        <v>75.531578947368416</v>
      </c>
      <c r="W100" s="30">
        <v>71.068421052631578</v>
      </c>
      <c r="X100" s="31">
        <v>249.65</v>
      </c>
      <c r="Y100" s="31"/>
      <c r="Z100" s="31"/>
      <c r="AA100" s="31"/>
      <c r="AB100" s="31"/>
      <c r="AC100" s="31">
        <v>288.67</v>
      </c>
      <c r="AD100" s="31"/>
      <c r="AE100" s="32">
        <v>65.69736842105263</v>
      </c>
      <c r="AF100" s="1" t="s">
        <v>1232</v>
      </c>
      <c r="AG100" s="4"/>
      <c r="AH100" s="4" t="s">
        <v>44</v>
      </c>
      <c r="AI100" s="6">
        <v>3800</v>
      </c>
      <c r="AJ100" s="38">
        <v>100</v>
      </c>
      <c r="AK100" s="34"/>
      <c r="AL100" s="1" t="s">
        <v>120</v>
      </c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  <c r="BF100" s="37"/>
      <c r="BG100" s="42">
        <v>297.56</v>
      </c>
      <c r="BH100" s="42"/>
      <c r="BI100" s="42"/>
      <c r="BJ100" s="42"/>
      <c r="BK100" s="44">
        <v>297.56</v>
      </c>
      <c r="BL100" s="44">
        <v>287.2</v>
      </c>
      <c r="BM100" s="44">
        <f>+BK100+BL100</f>
        <v>584.76</v>
      </c>
      <c r="BN100" s="47">
        <v>172.69878119558908</v>
      </c>
      <c r="BO100" s="47">
        <v>166.68601276842716</v>
      </c>
      <c r="BP100" s="45">
        <v>339.38479396401624</v>
      </c>
      <c r="BQ100" s="9">
        <v>1723</v>
      </c>
      <c r="BR100" s="4">
        <v>300</v>
      </c>
      <c r="BS100" s="4">
        <v>2001</v>
      </c>
      <c r="BT100" s="4" t="s">
        <v>872</v>
      </c>
      <c r="BU100" s="4" t="s">
        <v>119</v>
      </c>
      <c r="BV100" s="4" t="s">
        <v>901</v>
      </c>
      <c r="BW100" s="4"/>
      <c r="BX100" s="4"/>
      <c r="BY100" s="9">
        <f>+INT(BK100*faktorji!$B$3)</f>
        <v>19341</v>
      </c>
      <c r="BZ100" s="9">
        <f>+INT(BL100*faktorji!$B$4)</f>
        <v>47388</v>
      </c>
      <c r="CA100" s="4"/>
      <c r="CB100" s="4">
        <v>0</v>
      </c>
      <c r="CC100" s="4">
        <v>0</v>
      </c>
      <c r="CD100" s="4">
        <v>0</v>
      </c>
      <c r="CE100" s="4">
        <v>0</v>
      </c>
      <c r="CF100" s="4">
        <v>1</v>
      </c>
      <c r="CG100" s="4">
        <v>1</v>
      </c>
      <c r="CH100" s="4">
        <v>1</v>
      </c>
      <c r="CI100" s="9">
        <f>+BQ100*(CB100*faktorji!$B$21+'MOL_tabela rezultatov'!CF42*faktorji!$B$23+'MOL_tabela rezultatov'!CH42*faktorji!$B$26)+faktorji!$B$27*CG100</f>
        <v>46429.5</v>
      </c>
      <c r="CJ100" s="9">
        <f>+(BZ100*CF100*faktorji!$B$18)+(CG100*faktorji!$B$17*('MOL_tabela rezultatov'!BY42+'MOL_tabela rezultatov'!BZ42))+('MOL_tabela rezultatov'!CH42*faktorji!$B$16*'MOL_tabela rezultatov'!BY42)+('MOL_tabela rezultatov'!CB42*faktorji!$B$12*'MOL_tabela rezultatov'!BY42)</f>
        <v>7553.0999999999995</v>
      </c>
      <c r="CK100" s="66">
        <f>+CI100/CJ100</f>
        <v>6.1470786829248922</v>
      </c>
      <c r="CL100" s="3" t="str">
        <f>CONCATENATE(IF(CB100&gt;0,"kotlovnica/toplotna postaja, ",""),IF(CF100&gt;0,"razsvetljava, ",""),IF(CG100&gt;0,"energetsko upravljanje, ",""),IF(CH100&gt;0,"manjši investicijski in organizacijski ukrepi, ",""))</f>
        <v xml:space="preserve">razsvetljava, energetsko upravljanje, manjši investicijski in organizacijski ukrepi, </v>
      </c>
      <c r="CM100" s="9">
        <f>+CJ100*0.9</f>
        <v>6797.79</v>
      </c>
      <c r="CN100" s="9">
        <f>+CJ100*0.9</f>
        <v>6797.79</v>
      </c>
      <c r="CO100" s="9">
        <f>+CJ100*0.9</f>
        <v>6797.79</v>
      </c>
      <c r="CP100" s="69">
        <f>+IF(CI100-SUM(CM100:CO100)&lt;0,0,CI100-SUM(CM100:CO100))</f>
        <v>26036.13</v>
      </c>
      <c r="CQ100" s="9">
        <f>+(BQ100*CE100*faktorji!$B$24)+(BQ100^0.5*CC100*4*4*0.66*faktorji!$B$22)+(BQ100^0.5*CD100*4*4*0.33*faktorji!$B$25)</f>
        <v>0</v>
      </c>
      <c r="CR100" s="3" t="str">
        <f t="shared" si="35"/>
        <v/>
      </c>
      <c r="CS100" s="9">
        <f>+BQ100*('MOL_tabela rezultatov'!CH100*faktorji!$B$26)+faktorji!$B$27*CG100</f>
        <v>20584.5</v>
      </c>
      <c r="CT100" s="3" t="str">
        <f t="shared" si="33"/>
        <v xml:space="preserve">energetsko upravljanje, manjši investicijski in organizacijski ukrepi, </v>
      </c>
      <c r="CU100" s="9">
        <f t="shared" si="62"/>
        <v>5146.125</v>
      </c>
      <c r="CV100" s="9">
        <f t="shared" ref="CV100:CX100" si="72">+CU100</f>
        <v>5146.125</v>
      </c>
      <c r="CW100" s="9">
        <f t="shared" si="72"/>
        <v>5146.125</v>
      </c>
      <c r="CX100" s="69">
        <f t="shared" si="72"/>
        <v>5146.125</v>
      </c>
    </row>
    <row r="101" spans="1:102" s="10" customFormat="1" ht="18" customHeight="1">
      <c r="A101" s="117" t="s">
        <v>549</v>
      </c>
      <c r="B101" s="146" t="s">
        <v>550</v>
      </c>
      <c r="C101" s="57"/>
      <c r="D101" s="57"/>
      <c r="E101" s="51" t="s">
        <v>1175</v>
      </c>
      <c r="F101" s="51"/>
      <c r="G101" s="51">
        <v>3</v>
      </c>
      <c r="H101" s="51"/>
      <c r="I101" s="51"/>
      <c r="J101" s="51">
        <v>7</v>
      </c>
      <c r="K101" s="37" t="s">
        <v>1243</v>
      </c>
      <c r="L101" s="50"/>
      <c r="M101" s="4" t="s">
        <v>6</v>
      </c>
      <c r="N101" s="25"/>
      <c r="O101" s="25">
        <v>475</v>
      </c>
      <c r="P101" s="25"/>
      <c r="Q101" s="25"/>
      <c r="R101" s="25"/>
      <c r="S101" s="25"/>
      <c r="T101" s="25">
        <v>71.778000000000006</v>
      </c>
      <c r="U101" s="25">
        <v>546.77800000000002</v>
      </c>
      <c r="V101" s="30">
        <v>17.679310344827588</v>
      </c>
      <c r="W101" s="30">
        <v>116.99507389162562</v>
      </c>
      <c r="X101" s="31"/>
      <c r="Y101" s="31"/>
      <c r="Z101" s="31"/>
      <c r="AA101" s="31"/>
      <c r="AB101" s="31"/>
      <c r="AC101" s="31"/>
      <c r="AD101" s="31"/>
      <c r="AE101" s="32"/>
      <c r="AF101" s="16" t="s">
        <v>551</v>
      </c>
      <c r="AG101" s="3">
        <v>1991.2004999999999</v>
      </c>
      <c r="AH101" s="4"/>
      <c r="AI101" s="6">
        <v>4060</v>
      </c>
      <c r="AJ101" s="38">
        <v>100</v>
      </c>
      <c r="AK101" s="3"/>
      <c r="AL101" s="1" t="s">
        <v>552</v>
      </c>
      <c r="AM101" s="37"/>
      <c r="AN101" s="37"/>
      <c r="AO101" s="37"/>
      <c r="AP101" s="37"/>
      <c r="AQ101" s="37">
        <f>(118000*9.5)/1000</f>
        <v>1121</v>
      </c>
      <c r="AR101" s="37">
        <f>(117500*9.5)/1000</f>
        <v>1116.25</v>
      </c>
      <c r="AS101" s="37">
        <f>(118000*9.5)/1000</f>
        <v>1121</v>
      </c>
      <c r="AT101" s="37">
        <f>(112000*9.5)/1000</f>
        <v>1064</v>
      </c>
      <c r="AU101" s="37"/>
      <c r="AV101" s="37"/>
      <c r="AW101" s="37"/>
      <c r="AX101" s="37"/>
      <c r="AY101" s="37"/>
      <c r="AZ101" s="37"/>
      <c r="BA101" s="37"/>
      <c r="BB101" s="37"/>
      <c r="BC101" s="37">
        <v>233</v>
      </c>
      <c r="BD101" s="37">
        <v>237.8</v>
      </c>
      <c r="BE101" s="37">
        <v>231.11</v>
      </c>
      <c r="BF101" s="37">
        <v>224.4</v>
      </c>
      <c r="BG101" s="42"/>
      <c r="BH101" s="42">
        <v>519.614375</v>
      </c>
      <c r="BI101" s="42"/>
      <c r="BJ101" s="42"/>
      <c r="BK101" s="44">
        <v>519.614375</v>
      </c>
      <c r="BL101" s="44">
        <v>108.841425</v>
      </c>
      <c r="BM101" s="44">
        <f>+BK101+BL101</f>
        <v>628.45579999999995</v>
      </c>
      <c r="BN101" s="47">
        <v>157.9375</v>
      </c>
      <c r="BO101" s="47">
        <v>33.082500000000003</v>
      </c>
      <c r="BP101" s="45">
        <v>191.01999999999998</v>
      </c>
      <c r="BQ101" s="9">
        <v>3290</v>
      </c>
      <c r="BR101" s="1" t="s">
        <v>1050</v>
      </c>
      <c r="BS101" s="1" t="s">
        <v>1051</v>
      </c>
      <c r="BT101" s="4" t="s">
        <v>872</v>
      </c>
      <c r="BU101" s="4"/>
      <c r="BV101" s="4" t="s">
        <v>1052</v>
      </c>
      <c r="BW101" s="4"/>
      <c r="BX101" s="4" t="s">
        <v>1053</v>
      </c>
      <c r="BY101" s="9">
        <f>+INT(BK101*faktorji!$B$5)</f>
        <v>49363</v>
      </c>
      <c r="BZ101" s="9">
        <f>+INT(BL101*faktorji!$B$4)</f>
        <v>17958</v>
      </c>
      <c r="CA101" s="4"/>
      <c r="CB101" s="4">
        <v>1</v>
      </c>
      <c r="CC101" s="4">
        <v>1</v>
      </c>
      <c r="CD101" s="4">
        <v>0</v>
      </c>
      <c r="CE101" s="4">
        <v>0.5</v>
      </c>
      <c r="CF101" s="4">
        <v>1</v>
      </c>
      <c r="CG101" s="4">
        <v>1</v>
      </c>
      <c r="CH101" s="4">
        <v>1</v>
      </c>
      <c r="CI101" s="9">
        <f>+BQ101*(CB101*faktorji!$B$21+'MOL_tabela rezultatov'!CF207*faktorji!$B$23+'MOL_tabela rezultatov'!CH207*faktorji!$B$26)+faktorji!$B$27*CG101</f>
        <v>121635</v>
      </c>
      <c r="CJ101" s="9">
        <f>+(BZ101*CF101*faktorji!$B$18)+(CG101*faktorji!$B$17*('MOL_tabela rezultatov'!BY207+'MOL_tabela rezultatov'!BZ207))+('MOL_tabela rezultatov'!CH207*faktorji!$B$16*'MOL_tabela rezultatov'!BY207)+('MOL_tabela rezultatov'!CB207*faktorji!$B$12*'MOL_tabela rezultatov'!BY207)</f>
        <v>3050.9</v>
      </c>
      <c r="CK101" s="66">
        <f>+CI101/CJ101</f>
        <v>39.868563374741875</v>
      </c>
      <c r="CL101" s="3" t="str">
        <f>CONCATENATE(IF(CB101&gt;0,"kotlovnica/toplotna postaja, ",""),IF(CF101&gt;0,"razsvetljava, ",""),IF(CG101&gt;0,"energetsko upravljanje, ",""),IF(CH101&gt;0,"manjši investicijski in organizacijski ukrepi, ",""))</f>
        <v xml:space="preserve">kotlovnica/toplotna postaja, razsvetljava, energetsko upravljanje, manjši investicijski in organizacijski ukrepi, </v>
      </c>
      <c r="CM101" s="9">
        <f>+CJ101*0.9</f>
        <v>2745.81</v>
      </c>
      <c r="CN101" s="9">
        <f>+CJ101*0.9</f>
        <v>2745.81</v>
      </c>
      <c r="CO101" s="9">
        <f>+CJ101*0.9</f>
        <v>2745.81</v>
      </c>
      <c r="CP101" s="69">
        <f>+IF(CI101-SUM(CM101:CO101)&lt;0,0,CI101-SUM(CM101:CO101))</f>
        <v>113397.57</v>
      </c>
      <c r="CQ101" s="9">
        <f>+(BQ101*CE101*faktorji!$B$24)+(BQ101^0.5*CC101*4*4*0.66*faktorji!$B$22)+(BQ101^0.5*CD101*4*4*0.33*faktorji!$B$25)</f>
        <v>75299.419165832922</v>
      </c>
      <c r="CR101" s="3" t="str">
        <f t="shared" si="35"/>
        <v xml:space="preserve">izolacija ovoja, izolacija podstrešja, </v>
      </c>
      <c r="CS101" s="9">
        <f>+BQ101*('MOL_tabela rezultatov'!CH101*faktorji!$B$26)+faktorji!$B$27*CG101</f>
        <v>22935</v>
      </c>
      <c r="CT101" s="3" t="str">
        <f t="shared" si="33"/>
        <v xml:space="preserve">energetsko upravljanje, manjši investicijski in organizacijski ukrepi, </v>
      </c>
      <c r="CU101" s="9">
        <f t="shared" si="62"/>
        <v>5733.75</v>
      </c>
      <c r="CV101" s="9">
        <f t="shared" ref="CV101:CX101" si="73">+CU101</f>
        <v>5733.75</v>
      </c>
      <c r="CW101" s="9">
        <f t="shared" si="73"/>
        <v>5733.75</v>
      </c>
      <c r="CX101" s="69">
        <f t="shared" si="73"/>
        <v>5733.75</v>
      </c>
    </row>
    <row r="102" spans="1:102" s="10" customFormat="1" ht="18" hidden="1" customHeight="1">
      <c r="A102" s="53" t="s">
        <v>536</v>
      </c>
      <c r="B102" s="131" t="s">
        <v>537</v>
      </c>
      <c r="C102" s="57"/>
      <c r="D102" s="57"/>
      <c r="E102" s="51" t="s">
        <v>1175</v>
      </c>
      <c r="F102" s="51"/>
      <c r="G102" s="51">
        <v>2</v>
      </c>
      <c r="H102" s="51" t="s">
        <v>1251</v>
      </c>
      <c r="I102" s="51"/>
      <c r="J102" s="51">
        <v>2</v>
      </c>
      <c r="K102" s="37" t="s">
        <v>1241</v>
      </c>
      <c r="L102" s="50"/>
      <c r="M102" s="4" t="s">
        <v>7</v>
      </c>
      <c r="N102" s="25"/>
      <c r="O102" s="25"/>
      <c r="P102" s="28">
        <v>87</v>
      </c>
      <c r="Q102" s="25"/>
      <c r="R102" s="25"/>
      <c r="S102" s="25"/>
      <c r="T102" s="25">
        <v>9.6129999999999995</v>
      </c>
      <c r="U102" s="25">
        <v>96.613</v>
      </c>
      <c r="V102" s="30">
        <v>19.943983402489629</v>
      </c>
      <c r="W102" s="30">
        <v>180.49792531120332</v>
      </c>
      <c r="X102" s="31"/>
      <c r="Y102" s="31"/>
      <c r="Z102" s="31"/>
      <c r="AA102" s="31"/>
      <c r="AB102" s="31"/>
      <c r="AC102" s="31"/>
      <c r="AD102" s="31"/>
      <c r="AE102" s="32"/>
      <c r="AF102" s="16" t="s">
        <v>538</v>
      </c>
      <c r="AG102" s="3">
        <v>1995</v>
      </c>
      <c r="AH102" s="4"/>
      <c r="AI102" s="6">
        <v>482</v>
      </c>
      <c r="AJ102" s="38">
        <v>100</v>
      </c>
      <c r="AK102" s="3"/>
      <c r="AL102" s="1" t="s">
        <v>421</v>
      </c>
      <c r="AM102" s="37"/>
      <c r="AN102" s="37"/>
      <c r="AO102" s="37"/>
      <c r="AP102" s="37"/>
      <c r="AQ102" s="37"/>
      <c r="AR102" s="37"/>
      <c r="AS102" s="37"/>
      <c r="AT102" s="37"/>
      <c r="AU102" s="39"/>
      <c r="AV102" s="39"/>
      <c r="AW102" s="39"/>
      <c r="AX102" s="39"/>
      <c r="AY102" s="37"/>
      <c r="AZ102" s="37"/>
      <c r="BA102" s="37"/>
      <c r="BB102" s="37"/>
      <c r="BC102" s="37"/>
      <c r="BD102" s="37"/>
      <c r="BE102" s="37"/>
      <c r="BF102" s="37"/>
      <c r="BG102" s="42"/>
      <c r="BH102" s="42"/>
      <c r="BI102" s="42">
        <v>87</v>
      </c>
      <c r="BJ102" s="42"/>
      <c r="BK102" s="44">
        <v>87</v>
      </c>
      <c r="BL102" s="44">
        <v>9.61</v>
      </c>
      <c r="BM102" s="44">
        <f>+BK102+BL102</f>
        <v>96.61</v>
      </c>
      <c r="BN102" s="47">
        <v>180.49792531120332</v>
      </c>
      <c r="BO102" s="47">
        <v>19.937759336099585</v>
      </c>
      <c r="BP102" s="45">
        <v>200.43568464730291</v>
      </c>
      <c r="BQ102" s="9">
        <v>482</v>
      </c>
      <c r="BR102" s="4"/>
      <c r="BS102" s="4"/>
      <c r="BT102" s="4"/>
      <c r="BU102" s="4"/>
      <c r="BV102" s="4"/>
      <c r="BW102" s="4"/>
      <c r="BX102" s="4"/>
      <c r="BY102" s="9">
        <f>+INT(BK102*faktorji!$B$6)</f>
        <v>10875</v>
      </c>
      <c r="BZ102" s="9">
        <f>+INT(BL102*faktorji!$B$4)</f>
        <v>1585</v>
      </c>
      <c r="CA102" s="3" t="s">
        <v>1300</v>
      </c>
      <c r="CB102" s="4">
        <v>1</v>
      </c>
      <c r="CC102" s="4">
        <v>0</v>
      </c>
      <c r="CD102" s="4">
        <v>0</v>
      </c>
      <c r="CE102" s="4">
        <v>0</v>
      </c>
      <c r="CF102" s="4">
        <v>1</v>
      </c>
      <c r="CG102" s="4">
        <v>1</v>
      </c>
      <c r="CH102" s="4">
        <v>1</v>
      </c>
      <c r="CI102" s="9">
        <f>+BQ102*(CB102*faktorji!$B$21+'MOL_tabela rezultatov'!CF203*faktorji!$B$23+'MOL_tabela rezultatov'!CH203*faktorji!$B$26)+faktorji!$B$27*CG102</f>
        <v>33183</v>
      </c>
      <c r="CJ102" s="9">
        <f>+(BZ102*CF102*faktorji!$B$18)+(CG102*faktorji!$B$17*('MOL_tabela rezultatov'!BY203+'MOL_tabela rezultatov'!BZ203))+('MOL_tabela rezultatov'!CH203*faktorji!$B$16*'MOL_tabela rezultatov'!BY203)+('MOL_tabela rezultatov'!CB203*faktorji!$B$12*'MOL_tabela rezultatov'!BY203)</f>
        <v>9839.65</v>
      </c>
      <c r="CK102" s="66">
        <f>+CI102/CJ102</f>
        <v>3.3723760499611268</v>
      </c>
      <c r="CL102" s="3" t="str">
        <f>CONCATENATE(IF(CB102&gt;0,"kotlovnica/toplotna postaja, ",""),IF(CF102&gt;0,"razsvetljava, ",""),IF(CG102&gt;0,"energetsko upravljanje, ",""),IF(CH102&gt;0,"manjši investicijski in organizacijski ukrepi, ",""))</f>
        <v xml:space="preserve">kotlovnica/toplotna postaja, razsvetljava, energetsko upravljanje, manjši investicijski in organizacijski ukrepi, </v>
      </c>
      <c r="CM102" s="9">
        <f>+CJ102*0.9</f>
        <v>8855.6849999999995</v>
      </c>
      <c r="CN102" s="9">
        <f>+CJ102*0.9</f>
        <v>8855.6849999999995</v>
      </c>
      <c r="CO102" s="9">
        <f>+CJ102*0.9</f>
        <v>8855.6849999999995</v>
      </c>
      <c r="CP102" s="69">
        <f>+IF(CI102-SUM(CM102:CO102)&lt;0,0,CI102-SUM(CM102:CO102))</f>
        <v>6615.9449999999997</v>
      </c>
      <c r="CQ102" s="9">
        <f>+(BQ102*CE102*faktorji!$B$24)+(BQ102^0.5*CC102*4*4*0.66*faktorji!$B$22)+(BQ102^0.5*CD102*4*4*0.33*faktorji!$B$25)</f>
        <v>0</v>
      </c>
      <c r="CR102" s="3" t="str">
        <f t="shared" si="35"/>
        <v/>
      </c>
      <c r="CS102" s="9">
        <f>+BQ102*('MOL_tabela rezultatov'!CH102*faktorji!$B$26)+faktorji!$B$27*CG102</f>
        <v>18723</v>
      </c>
      <c r="CT102" s="3" t="str">
        <f t="shared" si="33"/>
        <v xml:space="preserve">energetsko upravljanje, manjši investicijski in organizacijski ukrepi, </v>
      </c>
      <c r="CU102" s="9">
        <f t="shared" si="62"/>
        <v>4680.75</v>
      </c>
      <c r="CV102" s="9">
        <f t="shared" ref="CV102:CX102" si="74">+CU102</f>
        <v>4680.75</v>
      </c>
      <c r="CW102" s="9">
        <f t="shared" si="74"/>
        <v>4680.75</v>
      </c>
      <c r="CX102" s="69">
        <f t="shared" si="74"/>
        <v>4680.75</v>
      </c>
    </row>
    <row r="103" spans="1:102" s="10" customFormat="1" ht="18" hidden="1" customHeight="1">
      <c r="A103" s="54" t="s">
        <v>667</v>
      </c>
      <c r="B103" s="125" t="s">
        <v>537</v>
      </c>
      <c r="C103" s="56"/>
      <c r="D103" s="56"/>
      <c r="E103" s="51" t="s">
        <v>1176</v>
      </c>
      <c r="F103" s="51"/>
      <c r="G103" s="51">
        <v>3</v>
      </c>
      <c r="H103" s="51"/>
      <c r="I103" s="51"/>
      <c r="J103" s="51">
        <v>7</v>
      </c>
      <c r="K103" s="37" t="s">
        <v>1242</v>
      </c>
      <c r="L103" s="50"/>
      <c r="M103" s="4" t="s">
        <v>7</v>
      </c>
      <c r="N103" s="25"/>
      <c r="O103" s="25"/>
      <c r="P103" s="25"/>
      <c r="Q103" s="25"/>
      <c r="R103" s="25"/>
      <c r="S103" s="25">
        <v>198.875</v>
      </c>
      <c r="T103" s="25">
        <v>29.433450941864955</v>
      </c>
      <c r="U103" s="25">
        <v>29.433450941864955</v>
      </c>
      <c r="V103" s="30">
        <v>31.819946964178328</v>
      </c>
      <c r="W103" s="30">
        <v>215</v>
      </c>
      <c r="X103" s="31"/>
      <c r="Y103" s="31"/>
      <c r="Z103" s="31"/>
      <c r="AA103" s="31"/>
      <c r="AB103" s="31"/>
      <c r="AC103" s="31"/>
      <c r="AD103" s="31"/>
      <c r="AE103" s="32"/>
      <c r="AF103" s="16"/>
      <c r="AG103" s="3"/>
      <c r="AH103" s="4"/>
      <c r="AI103" s="6">
        <v>925</v>
      </c>
      <c r="AJ103" s="38">
        <v>100</v>
      </c>
      <c r="AK103" s="3"/>
      <c r="AL103" s="1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42"/>
      <c r="BH103" s="42"/>
      <c r="BI103" s="42">
        <v>27.570900000000002</v>
      </c>
      <c r="BJ103" s="42"/>
      <c r="BK103" s="44">
        <v>27.570900000000002</v>
      </c>
      <c r="BL103" s="44">
        <v>6.7164999999999999</v>
      </c>
      <c r="BM103" s="44">
        <f>+BK103+BL103</f>
        <v>34.287400000000005</v>
      </c>
      <c r="BN103" s="47">
        <v>207.3</v>
      </c>
      <c r="BO103" s="47">
        <v>50.5</v>
      </c>
      <c r="BP103" s="45">
        <v>257.80000000000007</v>
      </c>
      <c r="BQ103" s="9">
        <v>133</v>
      </c>
      <c r="BR103" s="4"/>
      <c r="BS103" s="4"/>
      <c r="BT103" s="4"/>
      <c r="BU103" s="4"/>
      <c r="BV103" s="4"/>
      <c r="BW103" s="4"/>
      <c r="BX103" s="4"/>
      <c r="BY103" s="9">
        <f>+INT(BK103*faktorji!$B$6)</f>
        <v>3446</v>
      </c>
      <c r="BZ103" s="9">
        <f>+INT(BL103*faktorji!$B$4)</f>
        <v>1108</v>
      </c>
      <c r="CA103" s="4"/>
      <c r="CB103" s="4">
        <v>0</v>
      </c>
      <c r="CC103" s="4">
        <v>0</v>
      </c>
      <c r="CD103" s="4">
        <v>0</v>
      </c>
      <c r="CE103" s="4">
        <v>0</v>
      </c>
      <c r="CF103" s="4">
        <v>0</v>
      </c>
      <c r="CG103" s="4">
        <v>1</v>
      </c>
      <c r="CH103" s="4">
        <v>1</v>
      </c>
      <c r="CI103" s="9">
        <f>+BQ103*(CB103*faktorji!$B$21+'MOL_tabela rezultatov'!CF245*faktorji!$B$23+'MOL_tabela rezultatov'!CH245*faktorji!$B$26)+faktorji!$B$27*CG103</f>
        <v>20194.5</v>
      </c>
      <c r="CJ103" s="9">
        <f>+(BZ103*CF103*faktorji!$B$18)+(CG103*faktorji!$B$17*('MOL_tabela rezultatov'!BY245+'MOL_tabela rezultatov'!BZ245))+('MOL_tabela rezultatov'!CH245*faktorji!$B$16*'MOL_tabela rezultatov'!BY245)+('MOL_tabela rezultatov'!CB245*faktorji!$B$12*'MOL_tabela rezultatov'!BY245)</f>
        <v>9096.5</v>
      </c>
      <c r="CK103" s="66">
        <f>+CI103/CJ103</f>
        <v>2.2200296817457263</v>
      </c>
      <c r="CL103" s="3" t="str">
        <f>CONCATENATE(IF(CB103&gt;0,"kotlovnica/toplotna postaja, ",""),IF(CF103&gt;0,"razsvetljava, ",""),IF(CG103&gt;0,"energetsko upravljanje, ",""),IF(CH103&gt;0,"manjši investicijski in organizacijski ukrepi, ",""))</f>
        <v xml:space="preserve">energetsko upravljanje, manjši investicijski in organizacijski ukrepi, </v>
      </c>
      <c r="CM103" s="9">
        <f>+CJ103*0.9</f>
        <v>8186.85</v>
      </c>
      <c r="CN103" s="9">
        <f>+CJ103*0.9</f>
        <v>8186.85</v>
      </c>
      <c r="CO103" s="9">
        <f>+CJ103*0.9</f>
        <v>8186.85</v>
      </c>
      <c r="CP103" s="69">
        <f>+IF(CI103-SUM(CM103:CO103)&lt;0,0,CI103-SUM(CM103:CO103))</f>
        <v>0</v>
      </c>
      <c r="CQ103" s="9">
        <f>+(BQ103*CE103*faktorji!$B$24)+(BQ103^0.5*CC103*4*4*0.66*faktorji!$B$22)+(BQ103^0.5*CD103*4*4*0.33*faktorji!$B$25)</f>
        <v>0</v>
      </c>
      <c r="CR103" s="3" t="str">
        <f t="shared" si="35"/>
        <v/>
      </c>
      <c r="CS103" s="9">
        <f>+BQ103*('MOL_tabela rezultatov'!CH103*faktorji!$B$26)+faktorji!$B$27*CG103</f>
        <v>18199.5</v>
      </c>
      <c r="CT103" s="3" t="str">
        <f t="shared" si="33"/>
        <v xml:space="preserve">energetsko upravljanje, manjši investicijski in organizacijski ukrepi, </v>
      </c>
      <c r="CU103" s="9">
        <f t="shared" si="62"/>
        <v>4549.875</v>
      </c>
      <c r="CV103" s="9">
        <f t="shared" ref="CV103:CX103" si="75">+CU103</f>
        <v>4549.875</v>
      </c>
      <c r="CW103" s="9">
        <f t="shared" si="75"/>
        <v>4549.875</v>
      </c>
      <c r="CX103" s="69">
        <f t="shared" si="75"/>
        <v>4549.875</v>
      </c>
    </row>
    <row r="104" spans="1:102" s="10" customFormat="1" ht="18" hidden="1" customHeight="1">
      <c r="A104" s="53" t="s">
        <v>604</v>
      </c>
      <c r="B104" s="2" t="s">
        <v>605</v>
      </c>
      <c r="C104" s="57"/>
      <c r="D104" s="57"/>
      <c r="E104" s="51" t="s">
        <v>1176</v>
      </c>
      <c r="F104" s="51"/>
      <c r="G104" s="51">
        <v>2</v>
      </c>
      <c r="H104" s="71" t="s">
        <v>1255</v>
      </c>
      <c r="I104" s="71"/>
      <c r="J104" s="51">
        <v>1</v>
      </c>
      <c r="K104" s="37" t="s">
        <v>1243</v>
      </c>
      <c r="L104" s="50"/>
      <c r="M104" s="110" t="s">
        <v>6</v>
      </c>
      <c r="N104" s="25"/>
      <c r="O104" s="25">
        <v>152.63333333333333</v>
      </c>
      <c r="P104" s="25"/>
      <c r="Q104" s="25"/>
      <c r="R104" s="25"/>
      <c r="S104" s="25"/>
      <c r="T104" s="27">
        <v>12.416</v>
      </c>
      <c r="U104" s="25">
        <v>165.04933333333332</v>
      </c>
      <c r="V104" s="30">
        <v>17.864748201438847</v>
      </c>
      <c r="W104" s="30">
        <v>219.61630695443642</v>
      </c>
      <c r="X104" s="31"/>
      <c r="Y104" s="31"/>
      <c r="Z104" s="31"/>
      <c r="AA104" s="31"/>
      <c r="AB104" s="31"/>
      <c r="AC104" s="31"/>
      <c r="AD104" s="31"/>
      <c r="AE104" s="32"/>
      <c r="AF104" s="16" t="s">
        <v>606</v>
      </c>
      <c r="AG104" s="3">
        <v>1980</v>
      </c>
      <c r="AH104" s="4"/>
      <c r="AI104" s="12">
        <v>695</v>
      </c>
      <c r="AJ104" s="38">
        <v>100</v>
      </c>
      <c r="AK104" s="3"/>
      <c r="AL104" s="1" t="s">
        <v>593</v>
      </c>
      <c r="AM104" s="37"/>
      <c r="AN104" s="37"/>
      <c r="AO104" s="37"/>
      <c r="AP104" s="37"/>
      <c r="AQ104" s="37">
        <f>(19371*9.5)/1000</f>
        <v>184.02449999999999</v>
      </c>
      <c r="AR104" s="37">
        <f>(23817*9.5)/1000</f>
        <v>226.26150000000001</v>
      </c>
      <c r="AS104" s="37">
        <f>(21395*9.5)/1000</f>
        <v>203.2525</v>
      </c>
      <c r="AT104" s="37">
        <f>(21663*9.5)/1000</f>
        <v>205.79849999999999</v>
      </c>
      <c r="AU104" s="37"/>
      <c r="AV104" s="37"/>
      <c r="AW104" s="37"/>
      <c r="AX104" s="37"/>
      <c r="AY104" s="37"/>
      <c r="AZ104" s="37"/>
      <c r="BA104" s="37"/>
      <c r="BB104" s="37"/>
      <c r="BC104" s="37">
        <v>59.4</v>
      </c>
      <c r="BD104" s="37">
        <v>53.8</v>
      </c>
      <c r="BE104" s="37">
        <v>53.8</v>
      </c>
      <c r="BF104" s="37">
        <v>56.6</v>
      </c>
      <c r="BG104" s="42"/>
      <c r="BH104" s="42">
        <v>204.83425</v>
      </c>
      <c r="BI104" s="43"/>
      <c r="BJ104" s="43"/>
      <c r="BK104" s="107">
        <v>204.83425</v>
      </c>
      <c r="BL104" s="107">
        <v>61</v>
      </c>
      <c r="BM104" s="107">
        <f>+BK104+BL104</f>
        <v>265.83425</v>
      </c>
      <c r="BN104" s="108">
        <f>+BK104*1000/BQ104</f>
        <v>163.47505985634479</v>
      </c>
      <c r="BO104" s="108">
        <f>+BL104*1000/BQ104</f>
        <v>48.683160415003989</v>
      </c>
      <c r="BP104" s="109">
        <f>+BO104+BN104</f>
        <v>212.15822027134877</v>
      </c>
      <c r="BQ104" s="106">
        <v>1253</v>
      </c>
      <c r="BR104" s="110" t="s">
        <v>1425</v>
      </c>
      <c r="BS104" s="110">
        <v>1980</v>
      </c>
      <c r="BT104" s="112" t="s">
        <v>876</v>
      </c>
      <c r="BU104" s="4"/>
      <c r="BV104" s="4" t="s">
        <v>877</v>
      </c>
      <c r="BW104" s="4" t="s">
        <v>878</v>
      </c>
      <c r="BX104" s="4" t="s">
        <v>879</v>
      </c>
      <c r="BY104" s="106">
        <v>17300</v>
      </c>
      <c r="BZ104" s="106">
        <v>8976</v>
      </c>
      <c r="CA104" s="116" t="s">
        <v>1318</v>
      </c>
      <c r="CB104" s="4">
        <v>1</v>
      </c>
      <c r="CC104" s="4">
        <v>1</v>
      </c>
      <c r="CD104" s="4">
        <v>1</v>
      </c>
      <c r="CE104" s="4">
        <v>1</v>
      </c>
      <c r="CF104" s="4">
        <v>1</v>
      </c>
      <c r="CG104" s="4">
        <v>1</v>
      </c>
      <c r="CH104" s="4">
        <v>1</v>
      </c>
      <c r="CI104" s="106">
        <v>52400</v>
      </c>
      <c r="CJ104" s="106">
        <f>+(BZ104*CF104*faktorji!$B$18)+(CG104*faktorji!$B$17*('MOL_tabela rezultatov'!BY223+'MOL_tabela rezultatov'!BZ223))+('MOL_tabela rezultatov'!CH223*faktorji!$B$16*'MOL_tabela rezultatov'!BY223)+('MOL_tabela rezultatov'!CB223*faktorji!$B$12*'MOL_tabela rezultatov'!BY223)</f>
        <v>2306.1999999999998</v>
      </c>
      <c r="CK104" s="115">
        <f>+CI104/CJ104</f>
        <v>22.721359812678866</v>
      </c>
      <c r="CL104" s="3" t="str">
        <f>CONCATENATE(IF(CB104&gt;0,"kotlovnica/toplotna postaja, ",""),IF(CF104&gt;0,"razsvetljava, ",""),IF(CG104&gt;0,"energetsko upravljanje, ",""),IF(CH104&gt;0,"manjši investicijski in organizacijski ukrepi, ",""))</f>
        <v xml:space="preserve">kotlovnica/toplotna postaja, razsvetljava, energetsko upravljanje, manjši investicijski in organizacijski ukrepi, </v>
      </c>
      <c r="CM104" s="9">
        <f>+CJ104*0.9</f>
        <v>2075.58</v>
      </c>
      <c r="CN104" s="9">
        <f>+CJ104*0.9</f>
        <v>2075.58</v>
      </c>
      <c r="CO104" s="9">
        <f>+CJ104*0.9</f>
        <v>2075.58</v>
      </c>
      <c r="CP104" s="69">
        <f>+IF(CI104-SUM(CM104:CO104)&lt;0,0,CI104-SUM(CM104:CO104))</f>
        <v>46173.26</v>
      </c>
      <c r="CQ104" s="9">
        <f>+(BQ104*CE104*faktorji!$B$24)+(BQ104^0.5*CC104*4*4*0.66*faktorji!$B$22)+(BQ104^0.5*CD104*4*4*0.33*faktorji!$B$25)</f>
        <v>97951.026292130089</v>
      </c>
      <c r="CR104" s="3" t="str">
        <f t="shared" si="35"/>
        <v xml:space="preserve">izolacija ovoja, stavbno pohištvo, izolacija podstrešja, </v>
      </c>
      <c r="CS104" s="9">
        <f>+BQ104*('MOL_tabela rezultatov'!CH104*faktorji!$B$26)+faktorji!$B$27*CG104</f>
        <v>19879.5</v>
      </c>
      <c r="CT104" s="3" t="str">
        <f t="shared" si="33"/>
        <v xml:space="preserve">energetsko upravljanje, manjši investicijski in organizacijski ukrepi, </v>
      </c>
      <c r="CU104" s="9">
        <f t="shared" si="62"/>
        <v>4969.875</v>
      </c>
      <c r="CV104" s="9">
        <f t="shared" ref="CV104:CX104" si="76">+CU104</f>
        <v>4969.875</v>
      </c>
      <c r="CW104" s="9">
        <f t="shared" si="76"/>
        <v>4969.875</v>
      </c>
      <c r="CX104" s="69">
        <f t="shared" si="76"/>
        <v>4969.875</v>
      </c>
    </row>
    <row r="105" spans="1:102" s="10" customFormat="1" ht="18" hidden="1" customHeight="1">
      <c r="A105" s="53" t="s">
        <v>500</v>
      </c>
      <c r="B105" s="2" t="s">
        <v>502</v>
      </c>
      <c r="C105" s="57"/>
      <c r="D105" s="57"/>
      <c r="E105" s="51" t="s">
        <v>1175</v>
      </c>
      <c r="F105" s="51"/>
      <c r="G105" s="51">
        <v>3</v>
      </c>
      <c r="H105" s="51"/>
      <c r="I105" s="51"/>
      <c r="J105" s="51">
        <v>7</v>
      </c>
      <c r="K105" s="37" t="s">
        <v>1243</v>
      </c>
      <c r="L105" s="50"/>
      <c r="M105" s="4" t="s">
        <v>6</v>
      </c>
      <c r="N105" s="25"/>
      <c r="O105" s="28">
        <v>61.611483323043451</v>
      </c>
      <c r="P105" s="25"/>
      <c r="Q105" s="25"/>
      <c r="R105" s="25"/>
      <c r="S105" s="25"/>
      <c r="T105" s="25">
        <v>5.5</v>
      </c>
      <c r="U105" s="25">
        <v>67.111483323043444</v>
      </c>
      <c r="V105" s="30">
        <v>12.61467889908257</v>
      </c>
      <c r="W105" s="30">
        <v>141.31074156661342</v>
      </c>
      <c r="X105" s="31"/>
      <c r="Y105" s="31"/>
      <c r="Z105" s="31"/>
      <c r="AA105" s="31"/>
      <c r="AB105" s="31"/>
      <c r="AC105" s="31"/>
      <c r="AD105" s="31"/>
      <c r="AE105" s="32"/>
      <c r="AF105" s="16"/>
      <c r="AG105" s="3"/>
      <c r="AH105" s="4"/>
      <c r="AI105" s="6">
        <v>436</v>
      </c>
      <c r="AJ105" s="38"/>
      <c r="AK105" s="3"/>
      <c r="AL105" s="1"/>
      <c r="AM105" s="37"/>
      <c r="AN105" s="37"/>
      <c r="AO105" s="37"/>
      <c r="AP105" s="37"/>
      <c r="AQ105" s="37">
        <f>(66638*9.5)/1000</f>
        <v>633.06100000000004</v>
      </c>
      <c r="AR105" s="37">
        <f>(81930*9.5)/1000</f>
        <v>778.33500000000004</v>
      </c>
      <c r="AS105" s="37">
        <f>(75893*9.5)/1000</f>
        <v>720.98350000000005</v>
      </c>
      <c r="AT105" s="37">
        <f>(77637*9.5)/1000</f>
        <v>737.55150000000003</v>
      </c>
      <c r="AU105" s="37"/>
      <c r="AV105" s="37"/>
      <c r="AW105" s="37"/>
      <c r="AX105" s="37"/>
      <c r="AY105" s="37"/>
      <c r="AZ105" s="37"/>
      <c r="BA105" s="37"/>
      <c r="BB105" s="37"/>
      <c r="BC105" s="37">
        <v>81.8</v>
      </c>
      <c r="BD105" s="37">
        <v>78.3</v>
      </c>
      <c r="BE105" s="37">
        <v>75.900000000000006</v>
      </c>
      <c r="BF105" s="37">
        <v>77.599999999999994</v>
      </c>
      <c r="BG105" s="42"/>
      <c r="BH105" s="42">
        <v>717.48275000000001</v>
      </c>
      <c r="BI105" s="42"/>
      <c r="BJ105" s="42"/>
      <c r="BK105" s="44">
        <v>717.48275000000001</v>
      </c>
      <c r="BL105" s="44">
        <v>78.400000000000006</v>
      </c>
      <c r="BM105" s="44">
        <f>+BK105+BL105</f>
        <v>795.88274999999999</v>
      </c>
      <c r="BN105" s="47">
        <v>239.16091666666668</v>
      </c>
      <c r="BO105" s="47">
        <v>26.133333333333333</v>
      </c>
      <c r="BP105" s="45">
        <v>265.29424999999998</v>
      </c>
      <c r="BQ105" s="9">
        <v>3000</v>
      </c>
      <c r="BR105" s="4" t="s">
        <v>1033</v>
      </c>
      <c r="BS105" s="4">
        <v>1980</v>
      </c>
      <c r="BT105" s="4" t="s">
        <v>872</v>
      </c>
      <c r="BU105" s="4"/>
      <c r="BV105" s="4"/>
      <c r="BW105" s="4"/>
      <c r="BX105" s="4"/>
      <c r="BY105" s="9">
        <f>+INT(BK105*faktorji!$B$5)</f>
        <v>68160</v>
      </c>
      <c r="BZ105" s="9">
        <f>+INT(BL105*faktorji!$B$4)</f>
        <v>12936</v>
      </c>
      <c r="CA105" s="4"/>
      <c r="CB105" s="4">
        <v>1</v>
      </c>
      <c r="CC105" s="4">
        <v>0</v>
      </c>
      <c r="CD105" s="4">
        <v>0</v>
      </c>
      <c r="CE105" s="4">
        <v>0</v>
      </c>
      <c r="CF105" s="4">
        <v>1</v>
      </c>
      <c r="CG105" s="4">
        <v>1</v>
      </c>
      <c r="CH105" s="4">
        <v>1</v>
      </c>
      <c r="CI105" s="9">
        <f>+BQ105*(CB105*faktorji!$B$21+'MOL_tabela rezultatov'!CF193*faktorji!$B$23+'MOL_tabela rezultatov'!CH193*faktorji!$B$26)+faktorji!$B$27*CG105</f>
        <v>112500</v>
      </c>
      <c r="CJ105" s="9">
        <f>+(BZ105*CF105*faktorji!$B$18)+(CG105*faktorji!$B$17*('MOL_tabela rezultatov'!BY193+'MOL_tabela rezultatov'!BZ193))+('MOL_tabela rezultatov'!CH193*faktorji!$B$16*'MOL_tabela rezultatov'!BY193)+('MOL_tabela rezultatov'!CB193*faktorji!$B$12*'MOL_tabela rezultatov'!BY193)</f>
        <v>2328.3999999999996</v>
      </c>
      <c r="CK105" s="66">
        <f>+CI105/CJ105</f>
        <v>48.316440474145345</v>
      </c>
      <c r="CL105" s="3" t="str">
        <f>CONCATENATE(IF(CB105&gt;0,"kotlovnica/toplotna postaja, ",""),IF(CF105&gt;0,"razsvetljava, ",""),IF(CG105&gt;0,"energetsko upravljanje, ",""),IF(CH105&gt;0,"manjši investicijski in organizacijski ukrepi, ",""))</f>
        <v xml:space="preserve">kotlovnica/toplotna postaja, razsvetljava, energetsko upravljanje, manjši investicijski in organizacijski ukrepi, </v>
      </c>
      <c r="CM105" s="9">
        <f>+CJ105*0.9</f>
        <v>2095.56</v>
      </c>
      <c r="CN105" s="9">
        <f>+CJ105*0.9</f>
        <v>2095.56</v>
      </c>
      <c r="CO105" s="9">
        <f>+CJ105*0.9</f>
        <v>2095.56</v>
      </c>
      <c r="CP105" s="69">
        <f>+IF(CI105-SUM(CM105:CO105)&lt;0,0,CI105-SUM(CM105:CO105))</f>
        <v>106213.32</v>
      </c>
      <c r="CQ105" s="9">
        <f>+(BQ105*CE105*faktorji!$B$24)+(BQ105^0.5*CC105*4*4*0.66*faktorji!$B$22)+(BQ105^0.5*CD105*4*4*0.33*faktorji!$B$25)</f>
        <v>0</v>
      </c>
      <c r="CR105" s="3" t="str">
        <f t="shared" si="35"/>
        <v/>
      </c>
      <c r="CS105" s="9">
        <f>+BQ105*('MOL_tabela rezultatov'!CH105*faktorji!$B$26)+faktorji!$B$27*CG105</f>
        <v>22500</v>
      </c>
      <c r="CT105" s="3" t="str">
        <f t="shared" si="33"/>
        <v xml:space="preserve">energetsko upravljanje, manjši investicijski in organizacijski ukrepi, </v>
      </c>
      <c r="CU105" s="9">
        <f t="shared" si="62"/>
        <v>5625</v>
      </c>
      <c r="CV105" s="9">
        <f t="shared" ref="CV105:CX105" si="77">+CU105</f>
        <v>5625</v>
      </c>
      <c r="CW105" s="9">
        <f t="shared" si="77"/>
        <v>5625</v>
      </c>
      <c r="CX105" s="69">
        <f t="shared" si="77"/>
        <v>5625</v>
      </c>
    </row>
    <row r="106" spans="1:102" s="10" customFormat="1" ht="18" hidden="1" customHeight="1">
      <c r="A106" s="53" t="s">
        <v>547</v>
      </c>
      <c r="B106" s="2" t="s">
        <v>548</v>
      </c>
      <c r="C106" s="57"/>
      <c r="D106" s="57"/>
      <c r="E106" s="51" t="s">
        <v>1175</v>
      </c>
      <c r="F106" s="51"/>
      <c r="G106" s="51">
        <v>3</v>
      </c>
      <c r="H106" s="51"/>
      <c r="I106" s="51"/>
      <c r="J106" s="51">
        <v>7</v>
      </c>
      <c r="K106" s="37" t="s">
        <v>1243</v>
      </c>
      <c r="L106" s="50"/>
      <c r="M106" s="4" t="s">
        <v>5</v>
      </c>
      <c r="N106" s="25"/>
      <c r="O106" s="25"/>
      <c r="P106" s="25"/>
      <c r="Q106" s="25"/>
      <c r="R106" s="25"/>
      <c r="S106" s="25">
        <v>1058.9826973002012</v>
      </c>
      <c r="T106" s="25">
        <v>103.813</v>
      </c>
      <c r="U106" s="25">
        <v>103.813</v>
      </c>
      <c r="V106" s="30">
        <v>13.852815585801975</v>
      </c>
      <c r="W106" s="30">
        <v>141.31074156661344</v>
      </c>
      <c r="X106" s="31"/>
      <c r="Y106" s="31"/>
      <c r="Z106" s="31"/>
      <c r="AA106" s="31"/>
      <c r="AB106" s="31"/>
      <c r="AC106" s="31"/>
      <c r="AD106" s="31"/>
      <c r="AE106" s="32"/>
      <c r="AF106" s="16"/>
      <c r="AG106" s="3">
        <v>1981</v>
      </c>
      <c r="AH106" s="4"/>
      <c r="AI106" s="6">
        <v>7494</v>
      </c>
      <c r="AJ106" s="38">
        <v>100</v>
      </c>
      <c r="AK106" s="3"/>
      <c r="AL106" s="1" t="s">
        <v>421</v>
      </c>
      <c r="AM106" s="37">
        <v>542</v>
      </c>
      <c r="AN106" s="37">
        <v>549</v>
      </c>
      <c r="AO106" s="37">
        <v>516</v>
      </c>
      <c r="AP106" s="37">
        <v>482</v>
      </c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>
        <v>103.8</v>
      </c>
      <c r="BD106" s="37">
        <v>102.5</v>
      </c>
      <c r="BE106" s="37">
        <v>98.1</v>
      </c>
      <c r="BF106" s="37">
        <v>89.6</v>
      </c>
      <c r="BG106" s="42">
        <v>544.54999999999995</v>
      </c>
      <c r="BH106" s="42"/>
      <c r="BI106" s="42"/>
      <c r="BJ106" s="42"/>
      <c r="BK106" s="44">
        <v>544.54999999999995</v>
      </c>
      <c r="BL106" s="44">
        <v>98.5</v>
      </c>
      <c r="BM106" s="44">
        <f>+BK106+BL106</f>
        <v>643.04999999999995</v>
      </c>
      <c r="BN106" s="47">
        <v>72.66479850547104</v>
      </c>
      <c r="BO106" s="47">
        <v>13.143848412062983</v>
      </c>
      <c r="BP106" s="45">
        <v>85.808646917534034</v>
      </c>
      <c r="BQ106" s="9">
        <v>7494</v>
      </c>
      <c r="BR106" s="1" t="s">
        <v>1047</v>
      </c>
      <c r="BS106" s="1" t="s">
        <v>1048</v>
      </c>
      <c r="BT106" s="1" t="s">
        <v>1049</v>
      </c>
      <c r="BU106" s="4"/>
      <c r="BV106" s="4" t="s">
        <v>898</v>
      </c>
      <c r="BW106" s="4" t="s">
        <v>874</v>
      </c>
      <c r="BX106" s="4"/>
      <c r="BY106" s="9">
        <f>+INT(BK106*faktorji!$B$3)</f>
        <v>35395</v>
      </c>
      <c r="BZ106" s="9">
        <f>+INT(BL106*faktorji!$B$4)</f>
        <v>16252</v>
      </c>
      <c r="CA106" s="4"/>
      <c r="CB106" s="4">
        <v>0</v>
      </c>
      <c r="CC106" s="4">
        <v>1</v>
      </c>
      <c r="CD106" s="4">
        <v>0</v>
      </c>
      <c r="CE106" s="4">
        <v>0</v>
      </c>
      <c r="CF106" s="4">
        <v>0</v>
      </c>
      <c r="CG106" s="4">
        <v>1</v>
      </c>
      <c r="CH106" s="4">
        <v>1</v>
      </c>
      <c r="CI106" s="9" t="e">
        <f>+BQ106*(CB106*faktorji!$B$21+'MOL_tabela rezultatov'!#REF!*faktorji!$B$23+'MOL_tabela rezultatov'!#REF!*faktorji!$B$26)+faktorji!$B$27*CG106</f>
        <v>#REF!</v>
      </c>
      <c r="CJ106" s="9" t="e">
        <f>+(BZ106*CF106*faktorji!$B$18)+(CG106*faktorji!$B$17*('MOL_tabela rezultatov'!#REF!+'MOL_tabela rezultatov'!#REF!))+('MOL_tabela rezultatov'!#REF!*faktorji!$B$16*'MOL_tabela rezultatov'!#REF!)+('MOL_tabela rezultatov'!#REF!*faktorji!$B$12*'MOL_tabela rezultatov'!#REF!)</f>
        <v>#REF!</v>
      </c>
      <c r="CK106" s="66" t="e">
        <f>+CI106/CJ106</f>
        <v>#REF!</v>
      </c>
      <c r="CL106" s="3" t="str">
        <f>CONCATENATE(IF(CB106&gt;0,"kotlovnica/toplotna postaja, ",""),IF(CF106&gt;0,"razsvetljava, ",""),IF(CG106&gt;0,"energetsko upravljanje, ",""),IF(CH106&gt;0,"manjši investicijski in organizacijski ukrepi, ",""))</f>
        <v xml:space="preserve">energetsko upravljanje, manjši investicijski in organizacijski ukrepi, </v>
      </c>
      <c r="CM106" s="9" t="e">
        <f>+CJ106*0.9</f>
        <v>#REF!</v>
      </c>
      <c r="CN106" s="9" t="e">
        <f>+CJ106*0.9</f>
        <v>#REF!</v>
      </c>
      <c r="CO106" s="9" t="e">
        <f>+CJ106*0.9</f>
        <v>#REF!</v>
      </c>
      <c r="CP106" s="69" t="e">
        <f>+IF(CI106-SUM(CM106:CO106)&lt;0,0,CI106-SUM(CM106:CO106))</f>
        <v>#REF!</v>
      </c>
      <c r="CQ106" s="9">
        <f>+(BQ106*CE106*faktorji!$B$24)+(BQ106^0.5*CC106*4*4*0.66*faktorji!$B$22)+(BQ106^0.5*CD106*4*4*0.33*faktorji!$B$25)</f>
        <v>63990.986085229226</v>
      </c>
      <c r="CR106" s="3" t="str">
        <f t="shared" si="35"/>
        <v xml:space="preserve">izolacija ovoja, </v>
      </c>
      <c r="CS106" s="9">
        <f>+BQ106*('MOL_tabela rezultatov'!CH106*faktorji!$B$26)+faktorji!$B$27*CG106</f>
        <v>29241</v>
      </c>
      <c r="CT106" s="3" t="str">
        <f t="shared" si="33"/>
        <v xml:space="preserve">energetsko upravljanje, manjši investicijski in organizacijski ukrepi, </v>
      </c>
      <c r="CU106" s="9">
        <f t="shared" si="62"/>
        <v>7310.25</v>
      </c>
      <c r="CV106" s="9">
        <f t="shared" ref="CV106:CX106" si="78">+CU106</f>
        <v>7310.25</v>
      </c>
      <c r="CW106" s="9">
        <f t="shared" si="78"/>
        <v>7310.25</v>
      </c>
      <c r="CX106" s="69">
        <f t="shared" si="78"/>
        <v>7310.25</v>
      </c>
    </row>
    <row r="107" spans="1:102" s="10" customFormat="1" ht="18" hidden="1" customHeight="1">
      <c r="A107" s="53" t="s">
        <v>470</v>
      </c>
      <c r="B107" s="2" t="s">
        <v>471</v>
      </c>
      <c r="C107" s="57"/>
      <c r="D107" s="57"/>
      <c r="E107" s="51" t="s">
        <v>1175</v>
      </c>
      <c r="F107" s="51"/>
      <c r="G107" s="51">
        <v>3</v>
      </c>
      <c r="H107" s="51"/>
      <c r="I107" s="51"/>
      <c r="J107" s="51">
        <v>7</v>
      </c>
      <c r="K107" s="37" t="s">
        <v>1243</v>
      </c>
      <c r="L107" s="50"/>
      <c r="M107" s="4" t="s">
        <v>5</v>
      </c>
      <c r="N107" s="28">
        <v>460</v>
      </c>
      <c r="O107" s="25"/>
      <c r="P107" s="25"/>
      <c r="Q107" s="25"/>
      <c r="R107" s="25"/>
      <c r="S107" s="25"/>
      <c r="T107" s="25">
        <v>25.318999999999999</v>
      </c>
      <c r="U107" s="25">
        <v>485.31900000000002</v>
      </c>
      <c r="V107" s="30">
        <v>4.6887037037037036</v>
      </c>
      <c r="W107" s="30">
        <v>85.18518518518519</v>
      </c>
      <c r="X107" s="31"/>
      <c r="Y107" s="31"/>
      <c r="Z107" s="31"/>
      <c r="AA107" s="31"/>
      <c r="AB107" s="31"/>
      <c r="AC107" s="31"/>
      <c r="AD107" s="31"/>
      <c r="AE107" s="32"/>
      <c r="AF107" s="16" t="s">
        <v>472</v>
      </c>
      <c r="AG107" s="3"/>
      <c r="AH107" s="4"/>
      <c r="AI107" s="6">
        <v>5400</v>
      </c>
      <c r="AJ107" s="38">
        <v>100</v>
      </c>
      <c r="AK107" s="3"/>
      <c r="AL107" s="1" t="s">
        <v>421</v>
      </c>
      <c r="AM107" s="39"/>
      <c r="AN107" s="39"/>
      <c r="AO107" s="39"/>
      <c r="AP107" s="39"/>
      <c r="AQ107" s="37">
        <f>(1296.2*9.5)/1000</f>
        <v>12.3139</v>
      </c>
      <c r="AR107" s="37">
        <f>(1085.4*9.5)/1000</f>
        <v>10.311300000000001</v>
      </c>
      <c r="AS107" s="37">
        <f>(778.1*9.5)/1000</f>
        <v>7.3919499999999996</v>
      </c>
      <c r="AT107" s="37">
        <f>(960.8*9.5)/1000</f>
        <v>9.127600000000001</v>
      </c>
      <c r="AU107" s="37"/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42">
        <v>497.40000000000003</v>
      </c>
      <c r="BH107" s="42">
        <v>9.7861875000000005</v>
      </c>
      <c r="BI107" s="42"/>
      <c r="BJ107" s="42"/>
      <c r="BK107" s="44">
        <v>507.18618750000002</v>
      </c>
      <c r="BL107" s="44">
        <v>121.5</v>
      </c>
      <c r="BM107" s="44">
        <f>+BK107+BL107</f>
        <v>628.68618749999996</v>
      </c>
      <c r="BN107" s="47">
        <v>93.923368055555557</v>
      </c>
      <c r="BO107" s="47">
        <v>22.5</v>
      </c>
      <c r="BP107" s="45">
        <v>116.42336805555556</v>
      </c>
      <c r="BQ107" s="9">
        <v>5400</v>
      </c>
      <c r="BR107" s="4">
        <v>1193</v>
      </c>
      <c r="BS107" s="4">
        <v>1983</v>
      </c>
      <c r="BT107" s="1" t="s">
        <v>1023</v>
      </c>
      <c r="BU107" s="4"/>
      <c r="BV107" s="4" t="s">
        <v>1024</v>
      </c>
      <c r="BW107" s="4" t="s">
        <v>874</v>
      </c>
      <c r="BX107" s="4"/>
      <c r="BY107" s="9">
        <f>+INT(BK107*faktorji!$B$3)</f>
        <v>32967</v>
      </c>
      <c r="BZ107" s="9">
        <f>+INT(BL107*faktorji!$B$4)</f>
        <v>20047</v>
      </c>
      <c r="CA107" s="4"/>
      <c r="CB107" s="4">
        <v>0</v>
      </c>
      <c r="CC107" s="4">
        <v>0.5</v>
      </c>
      <c r="CD107" s="4">
        <v>0</v>
      </c>
      <c r="CE107" s="4">
        <v>1</v>
      </c>
      <c r="CF107" s="4">
        <v>0</v>
      </c>
      <c r="CG107" s="4">
        <v>1</v>
      </c>
      <c r="CH107" s="4">
        <v>1</v>
      </c>
      <c r="CI107" s="9">
        <f>+BQ107*(CB107*faktorji!$B$21+'MOL_tabela rezultatov'!CF182*faktorji!$B$23+'MOL_tabela rezultatov'!CH182*faktorji!$B$26)+faktorji!$B$27*CG107</f>
        <v>107100</v>
      </c>
      <c r="CJ107" s="9">
        <f>+(BZ107*CF107*faktorji!$B$18)+(CG107*faktorji!$B$17*('MOL_tabela rezultatov'!BY182+'MOL_tabela rezultatov'!BZ182))+('MOL_tabela rezultatov'!CH182*faktorji!$B$16*'MOL_tabela rezultatov'!BY182)+('MOL_tabela rezultatov'!CB182*faktorji!$B$12*'MOL_tabela rezultatov'!BY182)</f>
        <v>35522.199999999997</v>
      </c>
      <c r="CK107" s="66">
        <f>+CI107/CJ107</f>
        <v>3.0150159618492101</v>
      </c>
      <c r="CL107" s="3" t="str">
        <f>CONCATENATE(IF(CB107&gt;0,"kotlovnica/toplotna postaja, ",""),IF(CF107&gt;0,"razsvetljava, ",""),IF(CG107&gt;0,"energetsko upravljanje, ",""),IF(CH107&gt;0,"manjši investicijski in organizacijski ukrepi, ",""))</f>
        <v xml:space="preserve">energetsko upravljanje, manjši investicijski in organizacijski ukrepi, </v>
      </c>
      <c r="CM107" s="9">
        <f>+CJ107*0.9</f>
        <v>31969.98</v>
      </c>
      <c r="CN107" s="9">
        <f>+CJ107*0.9</f>
        <v>31969.98</v>
      </c>
      <c r="CO107" s="9">
        <f>+CJ107*0.9</f>
        <v>31969.98</v>
      </c>
      <c r="CP107" s="69">
        <f>+IF(CI107-SUM(CM107:CO107)&lt;0,0,CI107-SUM(CM107:CO107))</f>
        <v>11190.059999999998</v>
      </c>
      <c r="CQ107" s="9">
        <f>+(BQ107*CE107*faktorji!$B$24)+(BQ107^0.5*CC107*4*4*0.66*faktorji!$B$22)+(BQ107^0.5*CD107*4*4*0.33*faktorji!$B$25)</f>
        <v>135159.94226797987</v>
      </c>
      <c r="CR107" s="3" t="str">
        <f t="shared" si="35"/>
        <v xml:space="preserve">izolacija ovoja, izolacija podstrešja, </v>
      </c>
      <c r="CS107" s="9">
        <f>+BQ107*('MOL_tabela rezultatov'!CH107*faktorji!$B$26)+faktorji!$B$27*CG107</f>
        <v>26100</v>
      </c>
      <c r="CT107" s="3" t="str">
        <f t="shared" si="33"/>
        <v xml:space="preserve">energetsko upravljanje, manjši investicijski in organizacijski ukrepi, </v>
      </c>
      <c r="CU107" s="9">
        <f t="shared" si="62"/>
        <v>6525</v>
      </c>
      <c r="CV107" s="9">
        <f t="shared" ref="CV107:CX107" si="79">+CU107</f>
        <v>6525</v>
      </c>
      <c r="CW107" s="9">
        <f t="shared" si="79"/>
        <v>6525</v>
      </c>
      <c r="CX107" s="69">
        <f t="shared" si="79"/>
        <v>6525</v>
      </c>
    </row>
    <row r="108" spans="1:102" s="10" customFormat="1" ht="18" hidden="1" customHeight="1">
      <c r="A108" s="53" t="s">
        <v>322</v>
      </c>
      <c r="B108" s="2" t="s">
        <v>325</v>
      </c>
      <c r="C108" s="57"/>
      <c r="D108" s="57"/>
      <c r="E108" s="51" t="s">
        <v>1174</v>
      </c>
      <c r="F108" s="51"/>
      <c r="G108" s="51">
        <v>4</v>
      </c>
      <c r="H108" s="51"/>
      <c r="I108" s="51"/>
      <c r="J108" s="51">
        <v>7</v>
      </c>
      <c r="K108" s="37" t="s">
        <v>1241</v>
      </c>
      <c r="L108" s="50"/>
      <c r="M108" s="4" t="s">
        <v>5</v>
      </c>
      <c r="N108" s="25">
        <v>9.1999999999999993</v>
      </c>
      <c r="O108" s="25"/>
      <c r="P108" s="25"/>
      <c r="Q108" s="25"/>
      <c r="R108" s="25"/>
      <c r="S108" s="25"/>
      <c r="T108" s="25">
        <v>1.4159999999999999</v>
      </c>
      <c r="U108" s="25">
        <v>10.616</v>
      </c>
      <c r="V108" s="30">
        <v>17.7</v>
      </c>
      <c r="W108" s="30">
        <v>115</v>
      </c>
      <c r="X108" s="31">
        <v>8.4</v>
      </c>
      <c r="Y108" s="31"/>
      <c r="Z108" s="31"/>
      <c r="AA108" s="31"/>
      <c r="AB108" s="31"/>
      <c r="AC108" s="31">
        <v>1.22</v>
      </c>
      <c r="AD108" s="31"/>
      <c r="AE108" s="32">
        <v>105</v>
      </c>
      <c r="AF108" s="1"/>
      <c r="AG108" s="4"/>
      <c r="AH108" s="4"/>
      <c r="AI108" s="6">
        <v>80</v>
      </c>
      <c r="AJ108" s="38">
        <v>100</v>
      </c>
      <c r="AK108" s="3"/>
      <c r="AL108" s="1" t="s">
        <v>326</v>
      </c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  <c r="BF108" s="37"/>
      <c r="BG108" s="42"/>
      <c r="BH108" s="42">
        <v>9.1999999999999993</v>
      </c>
      <c r="BI108" s="42"/>
      <c r="BJ108" s="42"/>
      <c r="BK108" s="44">
        <v>9.1999999999999993</v>
      </c>
      <c r="BL108" s="44">
        <v>1.42</v>
      </c>
      <c r="BM108" s="44">
        <f>+BK108+BL108</f>
        <v>10.62</v>
      </c>
      <c r="BN108" s="47">
        <v>115</v>
      </c>
      <c r="BO108" s="47">
        <v>17.75</v>
      </c>
      <c r="BP108" s="45">
        <v>132.75</v>
      </c>
      <c r="BQ108" s="6">
        <v>80</v>
      </c>
      <c r="BR108" s="4"/>
      <c r="BS108" s="4"/>
      <c r="BT108" s="4"/>
      <c r="BU108" s="4"/>
      <c r="BV108" s="4"/>
      <c r="BW108" s="4"/>
      <c r="BX108" s="4"/>
      <c r="BY108" s="9">
        <f>+INT(BK108*faktorji!$B$3)</f>
        <v>598</v>
      </c>
      <c r="BZ108" s="9">
        <f>+INT(BL108*faktorji!$B$4)</f>
        <v>234</v>
      </c>
      <c r="CA108" s="4"/>
      <c r="CB108" s="4">
        <v>0</v>
      </c>
      <c r="CC108" s="4">
        <v>0</v>
      </c>
      <c r="CD108" s="4">
        <v>0</v>
      </c>
      <c r="CE108" s="4">
        <v>0</v>
      </c>
      <c r="CF108" s="4">
        <v>1</v>
      </c>
      <c r="CG108" s="4">
        <v>1</v>
      </c>
      <c r="CH108" s="4">
        <v>1</v>
      </c>
      <c r="CI108" s="9">
        <f>+BQ108*(CB108*faktorji!$B$21+'MOL_tabela rezultatov'!CF130*faktorji!$B$23+'MOL_tabela rezultatov'!CH130*faktorji!$B$26)+faktorji!$B$27*CG108</f>
        <v>18120</v>
      </c>
      <c r="CJ108" s="9">
        <f>+(BZ108*CF108*faktorji!$B$18)+(CG108*faktorji!$B$17*('MOL_tabela rezultatov'!BY130+'MOL_tabela rezultatov'!BZ130))+('MOL_tabela rezultatov'!CH130*faktorji!$B$16*'MOL_tabela rezultatov'!BY130)+('MOL_tabela rezultatov'!CB130*faktorji!$B$12*'MOL_tabela rezultatov'!BY130)</f>
        <v>35.1</v>
      </c>
      <c r="CK108" s="66">
        <f>+CI108/CJ108</f>
        <v>516.23931623931617</v>
      </c>
      <c r="CL108" s="3" t="str">
        <f>CONCATENATE(IF(CB108&gt;0,"kotlovnica/toplotna postaja, ",""),IF(CF108&gt;0,"razsvetljava, ",""),IF(CG108&gt;0,"energetsko upravljanje, ",""),IF(CH108&gt;0,"manjši investicijski in organizacijski ukrepi, ",""))</f>
        <v xml:space="preserve">razsvetljava, energetsko upravljanje, manjši investicijski in organizacijski ukrepi, </v>
      </c>
      <c r="CM108" s="9">
        <f>+CJ108*0.9</f>
        <v>31.590000000000003</v>
      </c>
      <c r="CN108" s="9">
        <f>+CJ108*0.9</f>
        <v>31.590000000000003</v>
      </c>
      <c r="CO108" s="9">
        <f>+CJ108*0.9</f>
        <v>31.590000000000003</v>
      </c>
      <c r="CP108" s="69">
        <f>+IF(CI108-SUM(CM108:CO108)&lt;0,0,CI108-SUM(CM108:CO108))</f>
        <v>18025.23</v>
      </c>
      <c r="CQ108" s="9">
        <f>+(BQ108*CE108*faktorji!$B$24)+(BQ108^0.5*CC108*4*4*0.66*faktorji!$B$22)+(BQ108^0.5*CD108*4*4*0.33*faktorji!$B$25)</f>
        <v>0</v>
      </c>
      <c r="CR108" s="3" t="str">
        <f t="shared" si="35"/>
        <v/>
      </c>
      <c r="CS108" s="9">
        <f>+BQ108*('MOL_tabela rezultatov'!CH108*faktorji!$B$26)+faktorji!$B$27*CG108</f>
        <v>18120</v>
      </c>
      <c r="CT108" s="3" t="str">
        <f t="shared" si="33"/>
        <v xml:space="preserve">energetsko upravljanje, manjši investicijski in organizacijski ukrepi, </v>
      </c>
      <c r="CU108" s="9">
        <f t="shared" si="62"/>
        <v>4530</v>
      </c>
      <c r="CV108" s="9">
        <f t="shared" ref="CV108:CX108" si="80">+CU108</f>
        <v>4530</v>
      </c>
      <c r="CW108" s="9">
        <f t="shared" si="80"/>
        <v>4530</v>
      </c>
      <c r="CX108" s="69">
        <f t="shared" si="80"/>
        <v>4530</v>
      </c>
    </row>
    <row r="109" spans="1:102" s="10" customFormat="1" ht="18" hidden="1" customHeight="1">
      <c r="A109" s="53" t="s">
        <v>635</v>
      </c>
      <c r="B109" s="2" t="s">
        <v>636</v>
      </c>
      <c r="C109" s="57"/>
      <c r="D109" s="57"/>
      <c r="E109" s="51" t="s">
        <v>1176</v>
      </c>
      <c r="F109" s="51"/>
      <c r="G109" s="51">
        <v>3</v>
      </c>
      <c r="H109" s="51"/>
      <c r="I109" s="51"/>
      <c r="J109" s="51">
        <v>7</v>
      </c>
      <c r="K109" s="37" t="s">
        <v>1243</v>
      </c>
      <c r="L109" s="50"/>
      <c r="M109" s="4" t="s">
        <v>5</v>
      </c>
      <c r="N109" s="28">
        <v>118</v>
      </c>
      <c r="O109" s="25"/>
      <c r="P109" s="25"/>
      <c r="Q109" s="25"/>
      <c r="R109" s="25"/>
      <c r="S109" s="25"/>
      <c r="T109" s="25">
        <v>61.353000000000002</v>
      </c>
      <c r="U109" s="25">
        <v>179.35300000000001</v>
      </c>
      <c r="V109" s="30">
        <v>60.268172888015719</v>
      </c>
      <c r="W109" s="30">
        <v>115.91355599214145</v>
      </c>
      <c r="X109" s="31"/>
      <c r="Y109" s="31"/>
      <c r="Z109" s="31"/>
      <c r="AA109" s="31"/>
      <c r="AB109" s="31"/>
      <c r="AC109" s="31"/>
      <c r="AD109" s="31"/>
      <c r="AE109" s="32"/>
      <c r="AF109" s="16"/>
      <c r="AG109" s="3"/>
      <c r="AH109" s="4"/>
      <c r="AI109" s="6">
        <v>1018</v>
      </c>
      <c r="AJ109" s="38">
        <v>100</v>
      </c>
      <c r="AK109" s="3"/>
      <c r="AL109" s="1" t="s">
        <v>637</v>
      </c>
      <c r="AM109" s="39"/>
      <c r="AN109" s="39"/>
      <c r="AO109" s="39">
        <f>120.3+55.8</f>
        <v>176.1</v>
      </c>
      <c r="AP109" s="39">
        <f>112.6+79.7</f>
        <v>192.3</v>
      </c>
      <c r="AQ109" s="37"/>
      <c r="AR109" s="37"/>
      <c r="AS109" s="37">
        <f>(2431*9.5)/1000</f>
        <v>23.0945</v>
      </c>
      <c r="AT109" s="37">
        <f>(3923*9.5)/1000</f>
        <v>37.268500000000003</v>
      </c>
      <c r="AU109" s="37"/>
      <c r="AV109" s="37"/>
      <c r="AW109" s="37"/>
      <c r="AX109" s="37"/>
      <c r="AY109" s="37"/>
      <c r="AZ109" s="37"/>
      <c r="BA109" s="37"/>
      <c r="BB109" s="37"/>
      <c r="BC109" s="37">
        <v>60</v>
      </c>
      <c r="BD109" s="37">
        <v>68.7</v>
      </c>
      <c r="BE109" s="37">
        <v>70.099999999999994</v>
      </c>
      <c r="BF109" s="37">
        <v>69.400000000000006</v>
      </c>
      <c r="BG109" s="42">
        <v>208.8</v>
      </c>
      <c r="BH109" s="42">
        <v>30.1815</v>
      </c>
      <c r="BI109" s="42"/>
      <c r="BJ109" s="42"/>
      <c r="BK109" s="44">
        <v>238.98150000000001</v>
      </c>
      <c r="BL109" s="44">
        <v>67.05</v>
      </c>
      <c r="BM109" s="44">
        <f>+BK109+BL109</f>
        <v>306.03149999999999</v>
      </c>
      <c r="BN109" s="47">
        <v>166.53763066202092</v>
      </c>
      <c r="BO109" s="47">
        <v>46.724738675958186</v>
      </c>
      <c r="BP109" s="45">
        <v>213.2623693379791</v>
      </c>
      <c r="BQ109" s="9">
        <v>1435</v>
      </c>
      <c r="BR109" s="4"/>
      <c r="BS109" s="4"/>
      <c r="BT109" s="4" t="s">
        <v>431</v>
      </c>
      <c r="BU109" s="4" t="s">
        <v>136</v>
      </c>
      <c r="BV109" s="4"/>
      <c r="BW109" s="4" t="s">
        <v>888</v>
      </c>
      <c r="BX109" s="4"/>
      <c r="BY109" s="9">
        <f>+INT(BK109*faktorji!$B$3)</f>
        <v>15533</v>
      </c>
      <c r="BZ109" s="9">
        <f>+INT(BL109*faktorji!$B$4)</f>
        <v>11063</v>
      </c>
      <c r="CA109" s="4"/>
      <c r="CB109" s="4">
        <v>0</v>
      </c>
      <c r="CC109" s="4">
        <v>0</v>
      </c>
      <c r="CD109" s="4">
        <v>0</v>
      </c>
      <c r="CE109" s="4">
        <v>0</v>
      </c>
      <c r="CF109" s="4">
        <v>1</v>
      </c>
      <c r="CG109" s="4">
        <v>1</v>
      </c>
      <c r="CH109" s="4">
        <v>1</v>
      </c>
      <c r="CI109" s="9">
        <f>+BQ109*(CB109*faktorji!$B$21+'MOL_tabela rezultatov'!CF234*faktorji!$B$23+'MOL_tabela rezultatov'!CH234*faktorji!$B$26)+faktorji!$B$27*CG109</f>
        <v>41677.5</v>
      </c>
      <c r="CJ109" s="9">
        <f>+(BZ109*CF109*faktorji!$B$18)+(CG109*faktorji!$B$17*('MOL_tabela rezultatov'!BY234+'MOL_tabela rezultatov'!BZ234))+('MOL_tabela rezultatov'!CH234*faktorji!$B$16*'MOL_tabela rezultatov'!BY234)+('MOL_tabela rezultatov'!CB234*faktorji!$B$12*'MOL_tabela rezultatov'!BY234)</f>
        <v>7313.15</v>
      </c>
      <c r="CK109" s="66">
        <f>+CI109/CJ109</f>
        <v>5.6989806034335411</v>
      </c>
      <c r="CL109" s="3" t="str">
        <f>CONCATENATE(IF(CB109&gt;0,"kotlovnica/toplotna postaja, ",""),IF(CF109&gt;0,"razsvetljava, ",""),IF(CG109&gt;0,"energetsko upravljanje, ",""),IF(CH109&gt;0,"manjši investicijski in organizacijski ukrepi, ",""))</f>
        <v xml:space="preserve">razsvetljava, energetsko upravljanje, manjši investicijski in organizacijski ukrepi, </v>
      </c>
      <c r="CM109" s="9">
        <f>+CJ109*0.9</f>
        <v>6581.835</v>
      </c>
      <c r="CN109" s="9">
        <f>+CJ109*0.9</f>
        <v>6581.835</v>
      </c>
      <c r="CO109" s="9">
        <f>+CJ109*0.9</f>
        <v>6581.835</v>
      </c>
      <c r="CP109" s="69">
        <f>+IF(CI109-SUM(CM109:CO109)&lt;0,0,CI109-SUM(CM109:CO109))</f>
        <v>21931.994999999999</v>
      </c>
      <c r="CQ109" s="9">
        <f>+(BQ109*CE109*faktorji!$B$24)+(BQ109^0.5*CC109*4*4*0.66*faktorji!$B$22)+(BQ109^0.5*CD109*4*4*0.33*faktorji!$B$25)</f>
        <v>0</v>
      </c>
      <c r="CR109" s="3" t="str">
        <f t="shared" si="35"/>
        <v/>
      </c>
      <c r="CS109" s="9">
        <f>+BQ109*('MOL_tabela rezultatov'!CH109*faktorji!$B$26)+faktorji!$B$27*CG109</f>
        <v>20152.5</v>
      </c>
      <c r="CT109" s="3" t="str">
        <f t="shared" si="33"/>
        <v xml:space="preserve">energetsko upravljanje, manjši investicijski in organizacijski ukrepi, </v>
      </c>
      <c r="CU109" s="9">
        <f t="shared" si="62"/>
        <v>5038.125</v>
      </c>
      <c r="CV109" s="9">
        <f t="shared" ref="CV109:CX109" si="81">+CU109</f>
        <v>5038.125</v>
      </c>
      <c r="CW109" s="9">
        <f t="shared" si="81"/>
        <v>5038.125</v>
      </c>
      <c r="CX109" s="69">
        <f t="shared" si="81"/>
        <v>5038.125</v>
      </c>
    </row>
    <row r="110" spans="1:102" s="10" customFormat="1" ht="18" hidden="1" customHeight="1">
      <c r="A110" s="54" t="s">
        <v>121</v>
      </c>
      <c r="B110" s="132" t="s">
        <v>122</v>
      </c>
      <c r="C110" s="56"/>
      <c r="D110" s="56"/>
      <c r="E110" s="51" t="s">
        <v>1169</v>
      </c>
      <c r="F110" s="51"/>
      <c r="G110" s="51">
        <v>4</v>
      </c>
      <c r="H110" s="51"/>
      <c r="I110" s="51"/>
      <c r="J110" s="51">
        <v>7</v>
      </c>
      <c r="K110" s="37" t="s">
        <v>1242</v>
      </c>
      <c r="L110" s="50"/>
      <c r="M110" s="5" t="s">
        <v>5</v>
      </c>
      <c r="N110" s="25">
        <v>29.756407017543861</v>
      </c>
      <c r="O110" s="25"/>
      <c r="P110" s="25"/>
      <c r="Q110" s="25"/>
      <c r="R110" s="25"/>
      <c r="S110" s="25"/>
      <c r="T110" s="25">
        <v>11.73400701754386</v>
      </c>
      <c r="U110" s="25">
        <v>41.490414035087724</v>
      </c>
      <c r="V110" s="30">
        <v>45.835964912280701</v>
      </c>
      <c r="W110" s="30">
        <v>116.23596491228071</v>
      </c>
      <c r="X110" s="31"/>
      <c r="Y110" s="31"/>
      <c r="Z110" s="31"/>
      <c r="AA110" s="31"/>
      <c r="AB110" s="31"/>
      <c r="AC110" s="31"/>
      <c r="AD110" s="31"/>
      <c r="AE110" s="32">
        <v>0</v>
      </c>
      <c r="AF110" s="1"/>
      <c r="AG110" s="4"/>
      <c r="AH110" s="4"/>
      <c r="AI110" s="6">
        <v>256</v>
      </c>
      <c r="AJ110" s="38">
        <v>100</v>
      </c>
      <c r="AK110" s="34" t="s">
        <v>123</v>
      </c>
      <c r="AL110" s="1" t="s">
        <v>120</v>
      </c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  <c r="BD110" s="37"/>
      <c r="BE110" s="37"/>
      <c r="BF110" s="37"/>
      <c r="BG110" s="42">
        <v>23.68</v>
      </c>
      <c r="BH110" s="42"/>
      <c r="BI110" s="42"/>
      <c r="BJ110" s="42"/>
      <c r="BK110" s="44">
        <v>23.68</v>
      </c>
      <c r="BL110" s="44">
        <v>26.747199999999996</v>
      </c>
      <c r="BM110" s="44">
        <f>+BK110+BL110</f>
        <v>50.427199999999999</v>
      </c>
      <c r="BN110" s="47">
        <v>81.095890410958901</v>
      </c>
      <c r="BO110" s="47">
        <v>91.6</v>
      </c>
      <c r="BP110" s="45">
        <v>172.6958904109589</v>
      </c>
      <c r="BQ110" s="9">
        <v>292</v>
      </c>
      <c r="BR110" s="4"/>
      <c r="BS110" s="4"/>
      <c r="BT110" s="4"/>
      <c r="BU110" s="4" t="s">
        <v>1245</v>
      </c>
      <c r="BV110" s="4"/>
      <c r="BW110" s="4"/>
      <c r="BX110" s="4"/>
      <c r="BY110" s="9">
        <f>+INT(BK110*faktorji!$B$3)</f>
        <v>1539</v>
      </c>
      <c r="BZ110" s="9">
        <f>+INT(BL110*faktorji!$B$4)</f>
        <v>4413</v>
      </c>
      <c r="CA110" s="4"/>
      <c r="CB110" s="4">
        <v>0</v>
      </c>
      <c r="CC110" s="4">
        <v>0</v>
      </c>
      <c r="CD110" s="4">
        <v>0</v>
      </c>
      <c r="CE110" s="4">
        <v>0</v>
      </c>
      <c r="CF110" s="4">
        <v>1</v>
      </c>
      <c r="CG110" s="4">
        <v>1</v>
      </c>
      <c r="CH110" s="4">
        <v>1</v>
      </c>
      <c r="CI110" s="9" t="e">
        <f>+BQ110*(CB110*faktorji!$B$21+'MOL_tabela rezultatov'!#REF!*faktorji!$B$23+'MOL_tabela rezultatov'!#REF!*faktorji!$B$26)+faktorji!$B$27*CG110</f>
        <v>#REF!</v>
      </c>
      <c r="CJ110" s="9" t="e">
        <f>+(BZ110*CF110*faktorji!$B$18)+(CG110*faktorji!$B$17*('MOL_tabela rezultatov'!#REF!+'MOL_tabela rezultatov'!#REF!))+('MOL_tabela rezultatov'!#REF!*faktorji!$B$16*'MOL_tabela rezultatov'!#REF!)+('MOL_tabela rezultatov'!#REF!*faktorji!$B$12*'MOL_tabela rezultatov'!#REF!)</f>
        <v>#REF!</v>
      </c>
      <c r="CK110" s="66" t="e">
        <f>+CI110/CJ110</f>
        <v>#REF!</v>
      </c>
      <c r="CL110" s="3" t="str">
        <f>CONCATENATE(IF(CB110&gt;0,"kotlovnica/toplotna postaja, ",""),IF(CF110&gt;0,"razsvetljava, ",""),IF(CG110&gt;0,"energetsko upravljanje, ",""),IF(CH110&gt;0,"manjši investicijski in organizacijski ukrepi, ",""))</f>
        <v xml:space="preserve">razsvetljava, energetsko upravljanje, manjši investicijski in organizacijski ukrepi, </v>
      </c>
      <c r="CM110" s="9" t="e">
        <f>+CJ110*0.9</f>
        <v>#REF!</v>
      </c>
      <c r="CN110" s="9" t="e">
        <f>+CJ110*0.9</f>
        <v>#REF!</v>
      </c>
      <c r="CO110" s="9" t="e">
        <f>+CJ110*0.9</f>
        <v>#REF!</v>
      </c>
      <c r="CP110" s="69" t="e">
        <f>+IF(CI110-SUM(CM110:CO110)&lt;0,0,CI110-SUM(CM110:CO110))</f>
        <v>#REF!</v>
      </c>
      <c r="CQ110" s="9">
        <f>+(BQ110*CE110*faktorji!$B$24)+(BQ110^0.5*CC110*4*4*0.66*faktorji!$B$22)+(BQ110^0.5*CD110*4*4*0.33*faktorji!$B$25)</f>
        <v>0</v>
      </c>
      <c r="CR110" s="3" t="str">
        <f t="shared" si="35"/>
        <v/>
      </c>
      <c r="CS110" s="9">
        <f>+BQ110*('MOL_tabela rezultatov'!CH110*faktorji!$B$26)+faktorji!$B$27*CG110</f>
        <v>18438</v>
      </c>
      <c r="CT110" s="3" t="str">
        <f t="shared" si="33"/>
        <v xml:space="preserve">energetsko upravljanje, manjši investicijski in organizacijski ukrepi, </v>
      </c>
      <c r="CU110" s="9">
        <f t="shared" si="62"/>
        <v>4609.5</v>
      </c>
      <c r="CV110" s="9">
        <f t="shared" ref="CV110:CX110" si="82">+CU110</f>
        <v>4609.5</v>
      </c>
      <c r="CW110" s="9">
        <f t="shared" si="82"/>
        <v>4609.5</v>
      </c>
      <c r="CX110" s="69">
        <f t="shared" si="82"/>
        <v>4609.5</v>
      </c>
    </row>
    <row r="111" spans="1:102" s="10" customFormat="1" ht="18" hidden="1" customHeight="1">
      <c r="A111" s="53" t="s">
        <v>601</v>
      </c>
      <c r="B111" s="132" t="s">
        <v>122</v>
      </c>
      <c r="C111" s="57"/>
      <c r="D111" s="57"/>
      <c r="E111" s="51" t="s">
        <v>1176</v>
      </c>
      <c r="F111" s="51"/>
      <c r="G111" s="51">
        <v>3</v>
      </c>
      <c r="H111" s="51"/>
      <c r="I111" s="51"/>
      <c r="J111" s="51">
        <v>7</v>
      </c>
      <c r="K111" s="37" t="s">
        <v>1243</v>
      </c>
      <c r="L111" s="50"/>
      <c r="M111" s="4" t="s">
        <v>5</v>
      </c>
      <c r="N111" s="28">
        <v>275</v>
      </c>
      <c r="O111" s="25"/>
      <c r="P111" s="25"/>
      <c r="Q111" s="25"/>
      <c r="R111" s="25"/>
      <c r="S111" s="25"/>
      <c r="T111" s="25">
        <v>50.625</v>
      </c>
      <c r="U111" s="25">
        <v>325.625</v>
      </c>
      <c r="V111" s="30">
        <v>56.690929451287793</v>
      </c>
      <c r="W111" s="30">
        <v>307.95072788353866</v>
      </c>
      <c r="X111" s="31"/>
      <c r="Y111" s="31"/>
      <c r="Z111" s="31"/>
      <c r="AA111" s="31"/>
      <c r="AB111" s="31"/>
      <c r="AC111" s="31"/>
      <c r="AD111" s="31"/>
      <c r="AE111" s="32"/>
      <c r="AF111" s="16"/>
      <c r="AG111" s="3"/>
      <c r="AH111" s="4"/>
      <c r="AI111" s="6">
        <v>893</v>
      </c>
      <c r="AJ111" s="38">
        <v>100</v>
      </c>
      <c r="AK111" s="3"/>
      <c r="AL111" s="1" t="s">
        <v>596</v>
      </c>
      <c r="AM111" s="39"/>
      <c r="AN111" s="39"/>
      <c r="AO111" s="39"/>
      <c r="AP111" s="39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  <c r="BA111" s="37"/>
      <c r="BB111" s="37"/>
      <c r="BC111" s="37">
        <v>46.4</v>
      </c>
      <c r="BD111" s="37">
        <v>50.3</v>
      </c>
      <c r="BE111" s="37">
        <v>38.200000000000003</v>
      </c>
      <c r="BF111" s="37">
        <v>63.8</v>
      </c>
      <c r="BG111" s="42">
        <v>241.43999999999997</v>
      </c>
      <c r="BH111" s="42">
        <v>2.65</v>
      </c>
      <c r="BI111" s="42"/>
      <c r="BJ111" s="42"/>
      <c r="BK111" s="44">
        <v>244.08999999999997</v>
      </c>
      <c r="BL111" s="44">
        <v>49.674999999999997</v>
      </c>
      <c r="BM111" s="44">
        <f>+BK111+BL111</f>
        <v>293.76499999999999</v>
      </c>
      <c r="BN111" s="47">
        <v>173.85327635327633</v>
      </c>
      <c r="BO111" s="47">
        <v>35.381054131054128</v>
      </c>
      <c r="BP111" s="45">
        <v>209.23433048433048</v>
      </c>
      <c r="BQ111" s="9">
        <v>1404</v>
      </c>
      <c r="BR111" s="4"/>
      <c r="BS111" s="4">
        <v>2011</v>
      </c>
      <c r="BT111" s="4" t="s">
        <v>431</v>
      </c>
      <c r="BU111" s="4"/>
      <c r="BV111" s="4" t="s">
        <v>870</v>
      </c>
      <c r="BW111" s="4" t="s">
        <v>866</v>
      </c>
      <c r="BX111" s="4"/>
      <c r="BY111" s="9">
        <f>+INT(BK111*faktorji!$B$3)</f>
        <v>15865</v>
      </c>
      <c r="BZ111" s="9">
        <f>+INT(BL111*faktorji!$B$4)</f>
        <v>8196</v>
      </c>
      <c r="CA111" s="4"/>
      <c r="CB111" s="4">
        <v>0</v>
      </c>
      <c r="CC111" s="4">
        <v>0</v>
      </c>
      <c r="CD111" s="4">
        <v>0</v>
      </c>
      <c r="CE111" s="4">
        <v>1</v>
      </c>
      <c r="CF111" s="4">
        <v>1</v>
      </c>
      <c r="CG111" s="4">
        <v>1</v>
      </c>
      <c r="CH111" s="4">
        <v>1</v>
      </c>
      <c r="CI111" s="9">
        <f>+BQ111*(CB111*faktorji!$B$21+'MOL_tabela rezultatov'!CF221*faktorji!$B$23+'MOL_tabela rezultatov'!CH221*faktorji!$B$26)+faktorji!$B$27*CG111</f>
        <v>41166</v>
      </c>
      <c r="CJ111" s="9">
        <f>+(BZ111*CF111*faktorji!$B$18)+(CG111*faktorji!$B$17*('MOL_tabela rezultatov'!BY221+'MOL_tabela rezultatov'!BZ221))+('MOL_tabela rezultatov'!CH221*faktorji!$B$16*'MOL_tabela rezultatov'!BY221)+('MOL_tabela rezultatov'!CB221*faktorji!$B$12*'MOL_tabela rezultatov'!BY221)</f>
        <v>2043.3999999999999</v>
      </c>
      <c r="CK111" s="66">
        <f>+CI111/CJ111</f>
        <v>20.145835372418521</v>
      </c>
      <c r="CL111" s="3" t="str">
        <f>CONCATENATE(IF(CB111&gt;0,"kotlovnica/toplotna postaja, ",""),IF(CF111&gt;0,"razsvetljava, ",""),IF(CG111&gt;0,"energetsko upravljanje, ",""),IF(CH111&gt;0,"manjši investicijski in organizacijski ukrepi, ",""))</f>
        <v xml:space="preserve">razsvetljava, energetsko upravljanje, manjši investicijski in organizacijski ukrepi, </v>
      </c>
      <c r="CM111" s="9">
        <f>+CJ111*0.9</f>
        <v>1839.06</v>
      </c>
      <c r="CN111" s="9">
        <f>+CJ111*0.9</f>
        <v>1839.06</v>
      </c>
      <c r="CO111" s="9">
        <f>+CJ111*0.9</f>
        <v>1839.06</v>
      </c>
      <c r="CP111" s="69">
        <f>+IF(CI111-SUM(CM111:CO111)&lt;0,0,CI111-SUM(CM111:CO111))</f>
        <v>35648.82</v>
      </c>
      <c r="CQ111" s="9">
        <f>+(BQ111*CE111*faktorji!$B$24)+(BQ111^0.5*CC111*4*4*0.66*faktorji!$B$22)+(BQ111^0.5*CD111*4*4*0.33*faktorji!$B$25)</f>
        <v>28080</v>
      </c>
      <c r="CR111" s="3" t="str">
        <f t="shared" si="35"/>
        <v xml:space="preserve">izolacija podstrešja, </v>
      </c>
      <c r="CS111" s="9">
        <f>+BQ111*('MOL_tabela rezultatov'!CH111*faktorji!$B$26)+faktorji!$B$27*CG111</f>
        <v>20106</v>
      </c>
      <c r="CT111" s="3" t="str">
        <f t="shared" si="33"/>
        <v xml:space="preserve">energetsko upravljanje, manjši investicijski in organizacijski ukrepi, </v>
      </c>
      <c r="CU111" s="9">
        <f t="shared" si="62"/>
        <v>5026.5</v>
      </c>
      <c r="CV111" s="9">
        <f t="shared" ref="CV111:CX111" si="83">+CU111</f>
        <v>5026.5</v>
      </c>
      <c r="CW111" s="9">
        <f t="shared" si="83"/>
        <v>5026.5</v>
      </c>
      <c r="CX111" s="69">
        <f t="shared" si="83"/>
        <v>5026.5</v>
      </c>
    </row>
    <row r="112" spans="1:102" s="10" customFormat="1" ht="18" hidden="1" customHeight="1">
      <c r="A112" s="53" t="s">
        <v>426</v>
      </c>
      <c r="B112" s="2" t="s">
        <v>427</v>
      </c>
      <c r="C112" s="57"/>
      <c r="D112" s="57"/>
      <c r="E112" s="51" t="s">
        <v>1175</v>
      </c>
      <c r="F112" s="51"/>
      <c r="G112" s="51">
        <v>2</v>
      </c>
      <c r="H112" s="51" t="s">
        <v>1249</v>
      </c>
      <c r="I112" s="51"/>
      <c r="J112" s="51">
        <v>2</v>
      </c>
      <c r="K112" s="37" t="s">
        <v>1243</v>
      </c>
      <c r="L112" s="50"/>
      <c r="M112" s="4" t="s">
        <v>5</v>
      </c>
      <c r="N112" s="25">
        <v>1168</v>
      </c>
      <c r="O112" s="25"/>
      <c r="P112" s="25"/>
      <c r="Q112" s="25"/>
      <c r="R112" s="25"/>
      <c r="S112" s="25"/>
      <c r="T112" s="25">
        <v>268.36900000000003</v>
      </c>
      <c r="U112" s="25">
        <v>1436.3690000000001</v>
      </c>
      <c r="V112" s="30">
        <v>23.991507241194352</v>
      </c>
      <c r="W112" s="30">
        <v>104.41623457893796</v>
      </c>
      <c r="X112" s="31"/>
      <c r="Y112" s="31"/>
      <c r="Z112" s="31"/>
      <c r="AA112" s="31"/>
      <c r="AB112" s="31"/>
      <c r="AC112" s="31"/>
      <c r="AD112" s="31"/>
      <c r="AE112" s="32"/>
      <c r="AF112" s="16"/>
      <c r="AG112" s="3"/>
      <c r="AH112" s="4"/>
      <c r="AI112" s="6">
        <v>11186</v>
      </c>
      <c r="AJ112" s="38">
        <v>100</v>
      </c>
      <c r="AK112" s="3"/>
      <c r="AL112" s="1" t="s">
        <v>428</v>
      </c>
      <c r="AM112" s="37">
        <v>1238.3599999999999</v>
      </c>
      <c r="AN112" s="37">
        <v>1306.3399999999999</v>
      </c>
      <c r="AO112" s="37">
        <v>1212.99</v>
      </c>
      <c r="AP112" s="37">
        <v>884.17</v>
      </c>
      <c r="AQ112" s="37">
        <f>(3896.85*9.5)/1000</f>
        <v>37.020074999999999</v>
      </c>
      <c r="AR112" s="37">
        <f>(2888.72*9.5)/1000</f>
        <v>27.442839999999997</v>
      </c>
      <c r="AS112" s="37">
        <f>(2867.95*9.5)/1000</f>
        <v>27.245524999999997</v>
      </c>
      <c r="AT112" s="37">
        <f>(3216.95*9.5)/1000</f>
        <v>30.561024999999997</v>
      </c>
      <c r="AU112" s="37"/>
      <c r="AV112" s="37"/>
      <c r="AW112" s="37"/>
      <c r="AX112" s="37"/>
      <c r="AY112" s="37"/>
      <c r="AZ112" s="37"/>
      <c r="BA112" s="37"/>
      <c r="BB112" s="37"/>
      <c r="BC112" s="37">
        <v>266.76</v>
      </c>
      <c r="BD112" s="37">
        <v>282.67</v>
      </c>
      <c r="BE112" s="37">
        <v>265.18</v>
      </c>
      <c r="BF112" s="37">
        <v>267.18</v>
      </c>
      <c r="BG112" s="42">
        <v>1160.4649999999999</v>
      </c>
      <c r="BH112" s="42">
        <v>30.567366249999999</v>
      </c>
      <c r="BI112" s="42"/>
      <c r="BJ112" s="42"/>
      <c r="BK112" s="44">
        <v>1191.03236625</v>
      </c>
      <c r="BL112" s="44">
        <v>270.44750000000005</v>
      </c>
      <c r="BM112" s="44">
        <f>+BK112+BL112</f>
        <v>1461.47986625</v>
      </c>
      <c r="BN112" s="47">
        <v>100.25524968434343</v>
      </c>
      <c r="BO112" s="47">
        <v>22.764941077441083</v>
      </c>
      <c r="BP112" s="45">
        <v>123.02019076178451</v>
      </c>
      <c r="BQ112" s="9">
        <v>11880</v>
      </c>
      <c r="BR112" s="4" t="s">
        <v>1001</v>
      </c>
      <c r="BS112" s="4">
        <v>1986</v>
      </c>
      <c r="BT112" s="4" t="s">
        <v>872</v>
      </c>
      <c r="BU112" s="4"/>
      <c r="BV112" s="1" t="s">
        <v>1002</v>
      </c>
      <c r="BW112" s="4"/>
      <c r="BX112" s="4"/>
      <c r="BY112" s="9">
        <f>+INT(BK112*faktorji!$B$3)</f>
        <v>77417</v>
      </c>
      <c r="BZ112" s="9">
        <f>+INT(BL112*faktorji!$B$4)</f>
        <v>44623</v>
      </c>
      <c r="CA112" s="3" t="s">
        <v>1305</v>
      </c>
      <c r="CB112" s="4">
        <v>1</v>
      </c>
      <c r="CC112" s="4">
        <v>0</v>
      </c>
      <c r="CD112" s="4">
        <v>0</v>
      </c>
      <c r="CE112" s="4">
        <v>0</v>
      </c>
      <c r="CF112" s="4">
        <v>1</v>
      </c>
      <c r="CG112" s="4">
        <v>1</v>
      </c>
      <c r="CH112" s="4">
        <v>0</v>
      </c>
      <c r="CI112" s="9">
        <f>+BQ112*(CB112*faktorji!$B$21+'MOL_tabela rezultatov'!CF169*faktorji!$B$23+'MOL_tabela rezultatov'!CH169*faktorji!$B$26)+faktorji!$B$27*CG112</f>
        <v>392220</v>
      </c>
      <c r="CJ112" s="9">
        <f>+(BZ112*CF112*faktorji!$B$18)+(CG112*faktorji!$B$17*('MOL_tabela rezultatov'!BY169+'MOL_tabela rezultatov'!BZ169))+('MOL_tabela rezultatov'!CH169*faktorji!$B$16*'MOL_tabela rezultatov'!BY169)+('MOL_tabela rezultatov'!CB169*faktorji!$B$12*'MOL_tabela rezultatov'!BY169)</f>
        <v>7367.9499999999989</v>
      </c>
      <c r="CK112" s="66">
        <f>+CI112/CJ112</f>
        <v>53.23326026913864</v>
      </c>
      <c r="CL112" s="3" t="str">
        <f>CONCATENATE(IF(CB112&gt;0,"kotlovnica/toplotna postaja, ",""),IF(CF112&gt;0,"razsvetljava, ",""),IF(CG112&gt;0,"energetsko upravljanje, ",""),IF(CH112&gt;0,"manjši investicijski in organizacijski ukrepi, ",""))</f>
        <v xml:space="preserve">kotlovnica/toplotna postaja, razsvetljava, energetsko upravljanje, </v>
      </c>
      <c r="CM112" s="9">
        <f>+CJ112*0.9</f>
        <v>6631.1549999999988</v>
      </c>
      <c r="CN112" s="9">
        <f>+CJ112*0.9</f>
        <v>6631.1549999999988</v>
      </c>
      <c r="CO112" s="9">
        <f>+CJ112*0.9</f>
        <v>6631.1549999999988</v>
      </c>
      <c r="CP112" s="69">
        <f>+IF(CI112-SUM(CM112:CO112)&lt;0,0,CI112-SUM(CM112:CO112))</f>
        <v>372326.53500000003</v>
      </c>
      <c r="CQ112" s="9">
        <f>+(BQ112*CE112*faktorji!$B$24)+(BQ112^0.5*CC112*4*4*0.66*faktorji!$B$22)+(BQ112^0.5*CD112*4*4*0.33*faktorji!$B$25)</f>
        <v>0</v>
      </c>
      <c r="CR112" s="3" t="str">
        <f t="shared" si="35"/>
        <v/>
      </c>
      <c r="CS112" s="9">
        <f>+BQ112*('MOL_tabela rezultatov'!CH112*faktorji!$B$26)+faktorji!$B$27*CG112</f>
        <v>18000</v>
      </c>
      <c r="CT112" s="3" t="str">
        <f t="shared" si="33"/>
        <v xml:space="preserve">energetsko upravljanje, </v>
      </c>
      <c r="CU112" s="9">
        <f t="shared" si="62"/>
        <v>4500</v>
      </c>
      <c r="CV112" s="9">
        <f t="shared" ref="CV112:CX112" si="84">+CU112</f>
        <v>4500</v>
      </c>
      <c r="CW112" s="9">
        <f t="shared" si="84"/>
        <v>4500</v>
      </c>
      <c r="CX112" s="69">
        <f t="shared" si="84"/>
        <v>4500</v>
      </c>
    </row>
    <row r="113" spans="1:102" s="10" customFormat="1" ht="18" hidden="1" customHeight="1">
      <c r="A113" s="53" t="s">
        <v>594</v>
      </c>
      <c r="B113" s="2" t="s">
        <v>595</v>
      </c>
      <c r="C113" s="57"/>
      <c r="D113" s="57"/>
      <c r="E113" s="51" t="s">
        <v>1176</v>
      </c>
      <c r="F113" s="51"/>
      <c r="G113" s="51">
        <v>3</v>
      </c>
      <c r="H113" s="51"/>
      <c r="I113" s="51"/>
      <c r="J113" s="51">
        <v>7</v>
      </c>
      <c r="K113" s="37" t="s">
        <v>1243</v>
      </c>
      <c r="L113" s="50"/>
      <c r="M113" s="4" t="s">
        <v>5</v>
      </c>
      <c r="N113" s="28">
        <v>459</v>
      </c>
      <c r="O113" s="25"/>
      <c r="P113" s="25"/>
      <c r="Q113" s="25"/>
      <c r="R113" s="25"/>
      <c r="S113" s="25"/>
      <c r="T113" s="25">
        <v>98.703999999999994</v>
      </c>
      <c r="U113" s="25">
        <v>557.70399999999995</v>
      </c>
      <c r="V113" s="30">
        <v>85.089655172413785</v>
      </c>
      <c r="W113" s="30">
        <v>395.68965517241378</v>
      </c>
      <c r="X113" s="31"/>
      <c r="Y113" s="31"/>
      <c r="Z113" s="31"/>
      <c r="AA113" s="31"/>
      <c r="AB113" s="31"/>
      <c r="AC113" s="31"/>
      <c r="AD113" s="31"/>
      <c r="AE113" s="32"/>
      <c r="AF113" s="16"/>
      <c r="AG113" s="3"/>
      <c r="AH113" s="4"/>
      <c r="AI113" s="6">
        <v>1160</v>
      </c>
      <c r="AJ113" s="38">
        <v>100</v>
      </c>
      <c r="AK113" s="3"/>
      <c r="AL113" s="1" t="s">
        <v>596</v>
      </c>
      <c r="AM113" s="39"/>
      <c r="AN113" s="39"/>
      <c r="AO113" s="39"/>
      <c r="AP113" s="39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  <c r="BA113" s="37"/>
      <c r="BB113" s="37"/>
      <c r="BC113" s="37">
        <v>90.9</v>
      </c>
      <c r="BD113" s="37">
        <v>90.9</v>
      </c>
      <c r="BE113" s="37">
        <v>84.5</v>
      </c>
      <c r="BF113" s="37">
        <v>94.7</v>
      </c>
      <c r="BG113" s="42">
        <v>335.3</v>
      </c>
      <c r="BH113" s="42">
        <v>18.2</v>
      </c>
      <c r="BI113" s="42"/>
      <c r="BJ113" s="42"/>
      <c r="BK113" s="44">
        <v>353.5</v>
      </c>
      <c r="BL113" s="44">
        <v>90.25</v>
      </c>
      <c r="BM113" s="44">
        <f>+BK113+BL113</f>
        <v>443.75</v>
      </c>
      <c r="BN113" s="47">
        <v>164.64834653004192</v>
      </c>
      <c r="BO113" s="47">
        <v>42.035398230088497</v>
      </c>
      <c r="BP113" s="45">
        <v>206.68374476013042</v>
      </c>
      <c r="BQ113" s="9">
        <v>2147</v>
      </c>
      <c r="BR113" s="4">
        <v>143</v>
      </c>
      <c r="BS113" s="4">
        <v>2006</v>
      </c>
      <c r="BT113" s="4" t="s">
        <v>431</v>
      </c>
      <c r="BU113" s="4" t="s">
        <v>865</v>
      </c>
      <c r="BV113" s="4"/>
      <c r="BW113" s="4" t="s">
        <v>866</v>
      </c>
      <c r="BX113" s="4"/>
      <c r="BY113" s="9">
        <f>+INT(BK113*faktorji!$B$3)</f>
        <v>22977</v>
      </c>
      <c r="BZ113" s="9">
        <f>+INT(BL113*faktorji!$B$4)</f>
        <v>14891</v>
      </c>
      <c r="CA113" s="4"/>
      <c r="CB113" s="4">
        <v>0</v>
      </c>
      <c r="CC113" s="4">
        <v>1</v>
      </c>
      <c r="CD113" s="4">
        <v>1</v>
      </c>
      <c r="CE113" s="4">
        <v>1</v>
      </c>
      <c r="CF113" s="4">
        <v>0</v>
      </c>
      <c r="CG113" s="4">
        <v>1</v>
      </c>
      <c r="CH113" s="4">
        <v>1</v>
      </c>
      <c r="CI113" s="9">
        <f>+BQ113*(CB113*faktorji!$B$21+'MOL_tabela rezultatov'!CF219*faktorji!$B$23+'MOL_tabela rezultatov'!CH219*faktorji!$B$26)+faktorji!$B$27*CG113</f>
        <v>21220.5</v>
      </c>
      <c r="CJ113" s="9">
        <f>+(BZ113*CF113*faktorji!$B$18)+(CG113*faktorji!$B$17*('MOL_tabela rezultatov'!BY219+'MOL_tabela rezultatov'!BZ219))+('MOL_tabela rezultatov'!CH219*faktorji!$B$16*'MOL_tabela rezultatov'!BY219)+('MOL_tabela rezultatov'!CB219*faktorji!$B$12*'MOL_tabela rezultatov'!BY219)</f>
        <v>8868.9000000000015</v>
      </c>
      <c r="CK113" s="66">
        <f>+CI113/CJ113</f>
        <v>2.3926868044515102</v>
      </c>
      <c r="CL113" s="3" t="str">
        <f>CONCATENATE(IF(CB113&gt;0,"kotlovnica/toplotna postaja, ",""),IF(CF113&gt;0,"razsvetljava, ",""),IF(CG113&gt;0,"energetsko upravljanje, ",""),IF(CH113&gt;0,"manjši investicijski in organizacijski ukrepi, ",""))</f>
        <v xml:space="preserve">energetsko upravljanje, manjši investicijski in organizacijski ukrepi, </v>
      </c>
      <c r="CM113" s="9">
        <f>+CJ113*0.9</f>
        <v>7982.0100000000011</v>
      </c>
      <c r="CN113" s="9">
        <f>+CJ113*0.9</f>
        <v>7982.0100000000011</v>
      </c>
      <c r="CO113" s="9">
        <f>+CJ113*0.9</f>
        <v>7982.0100000000011</v>
      </c>
      <c r="CP113" s="69">
        <f>+IF(CI113-SUM(CM113:CO113)&lt;0,0,CI113-SUM(CM113:CO113))</f>
        <v>0</v>
      </c>
      <c r="CQ113" s="9">
        <f>+(BQ113*CE113*faktorji!$B$24)+(BQ113^0.5*CC113*4*4*0.66*faktorji!$B$22)+(BQ113^0.5*CD113*4*4*0.33*faktorji!$B$25)</f>
        <v>138354.53800171125</v>
      </c>
      <c r="CR113" s="3" t="str">
        <f t="shared" si="35"/>
        <v xml:space="preserve">izolacija ovoja, stavbno pohištvo, izolacija podstrešja, </v>
      </c>
      <c r="CS113" s="9">
        <f>+BQ113*('MOL_tabela rezultatov'!CH113*faktorji!$B$26)+faktorji!$B$27*CG113</f>
        <v>21220.5</v>
      </c>
      <c r="CT113" s="3" t="str">
        <f t="shared" si="33"/>
        <v xml:space="preserve">energetsko upravljanje, manjši investicijski in organizacijski ukrepi, </v>
      </c>
      <c r="CU113" s="9">
        <f t="shared" si="62"/>
        <v>5305.125</v>
      </c>
      <c r="CV113" s="9">
        <f t="shared" ref="CV113:CX113" si="85">+CU113</f>
        <v>5305.125</v>
      </c>
      <c r="CW113" s="9">
        <f t="shared" si="85"/>
        <v>5305.125</v>
      </c>
      <c r="CX113" s="69">
        <f t="shared" si="85"/>
        <v>5305.125</v>
      </c>
    </row>
    <row r="114" spans="1:102" s="10" customFormat="1" ht="18" hidden="1" customHeight="1">
      <c r="A114" s="53" t="s">
        <v>441</v>
      </c>
      <c r="B114" s="2" t="s">
        <v>442</v>
      </c>
      <c r="C114" s="57"/>
      <c r="D114" s="57"/>
      <c r="E114" s="51" t="s">
        <v>1175</v>
      </c>
      <c r="F114" s="51"/>
      <c r="G114" s="51">
        <v>3</v>
      </c>
      <c r="H114" s="51"/>
      <c r="I114" s="51"/>
      <c r="J114" s="51">
        <v>7</v>
      </c>
      <c r="K114" s="37" t="s">
        <v>1243</v>
      </c>
      <c r="L114" s="50"/>
      <c r="M114" s="4" t="s">
        <v>5</v>
      </c>
      <c r="N114" s="25">
        <v>605</v>
      </c>
      <c r="O114" s="25"/>
      <c r="P114" s="25"/>
      <c r="Q114" s="25"/>
      <c r="R114" s="25"/>
      <c r="S114" s="25"/>
      <c r="T114" s="25">
        <v>111.501</v>
      </c>
      <c r="U114" s="25">
        <v>716.50099999999998</v>
      </c>
      <c r="V114" s="30">
        <v>17.47664576802508</v>
      </c>
      <c r="W114" s="30">
        <v>94.827586206896555</v>
      </c>
      <c r="X114" s="31"/>
      <c r="Y114" s="31"/>
      <c r="Z114" s="31"/>
      <c r="AA114" s="31"/>
      <c r="AB114" s="31"/>
      <c r="AC114" s="31"/>
      <c r="AD114" s="31"/>
      <c r="AE114" s="32"/>
      <c r="AF114" s="16" t="s">
        <v>443</v>
      </c>
      <c r="AG114" s="3">
        <v>2001.1978999999999</v>
      </c>
      <c r="AH114" s="4"/>
      <c r="AI114" s="6">
        <v>6380</v>
      </c>
      <c r="AJ114" s="38">
        <v>100</v>
      </c>
      <c r="AK114" s="3"/>
      <c r="AL114" s="1" t="s">
        <v>428</v>
      </c>
      <c r="AM114" s="37">
        <v>605.61</v>
      </c>
      <c r="AN114" s="37">
        <v>616.53</v>
      </c>
      <c r="AO114" s="37">
        <v>591.48</v>
      </c>
      <c r="AP114" s="37">
        <v>474.25</v>
      </c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>
        <v>113.49</v>
      </c>
      <c r="BD114" s="37">
        <v>118.26</v>
      </c>
      <c r="BE114" s="37">
        <v>122.22</v>
      </c>
      <c r="BF114" s="37">
        <v>127.28</v>
      </c>
      <c r="BG114" s="42">
        <v>571.96749999999997</v>
      </c>
      <c r="BH114" s="42"/>
      <c r="BI114" s="42"/>
      <c r="BJ114" s="42"/>
      <c r="BK114" s="44">
        <v>571.96749999999997</v>
      </c>
      <c r="BL114" s="44">
        <v>120.3125</v>
      </c>
      <c r="BM114" s="44">
        <f>+BK114+BL114</f>
        <v>692.28</v>
      </c>
      <c r="BN114" s="47">
        <v>89.650078369905955</v>
      </c>
      <c r="BO114" s="47">
        <v>18.857758620689655</v>
      </c>
      <c r="BP114" s="45">
        <v>108.50783699059561</v>
      </c>
      <c r="BQ114" s="9">
        <v>6380</v>
      </c>
      <c r="BR114" s="1" t="s">
        <v>1007</v>
      </c>
      <c r="BS114" s="1" t="s">
        <v>1008</v>
      </c>
      <c r="BT114" s="4" t="s">
        <v>872</v>
      </c>
      <c r="BU114" s="4"/>
      <c r="BV114" s="1" t="s">
        <v>1009</v>
      </c>
      <c r="BW114" s="4"/>
      <c r="BX114" s="4"/>
      <c r="BY114" s="9">
        <f>+INT(BK114*faktorji!$B$3)</f>
        <v>37177</v>
      </c>
      <c r="BZ114" s="9">
        <f>+INT(BL114*faktorji!$B$4)</f>
        <v>19851</v>
      </c>
      <c r="CA114" s="4"/>
      <c r="CB114" s="4">
        <v>0</v>
      </c>
      <c r="CC114" s="4">
        <v>0</v>
      </c>
      <c r="CD114" s="4">
        <v>0</v>
      </c>
      <c r="CE114" s="4">
        <v>0</v>
      </c>
      <c r="CF114" s="4">
        <v>1</v>
      </c>
      <c r="CG114" s="4">
        <v>1</v>
      </c>
      <c r="CH114" s="4">
        <v>1</v>
      </c>
      <c r="CI114" s="9">
        <f>+BQ114*(CB114*faktorji!$B$21+'MOL_tabela rezultatov'!CF173*faktorji!$B$23+'MOL_tabela rezultatov'!CH173*faktorji!$B$26)+faktorji!$B$27*CG114</f>
        <v>27570</v>
      </c>
      <c r="CJ114" s="9">
        <f>+(BZ114*CF114*faktorji!$B$18)+(CG114*faktorji!$B$17*('MOL_tabela rezultatov'!BY173+'MOL_tabela rezultatov'!BZ173))+('MOL_tabela rezultatov'!CH173*faktorji!$B$16*'MOL_tabela rezultatov'!BY173)+('MOL_tabela rezultatov'!CB173*faktorji!$B$12*'MOL_tabela rezultatov'!BY173)</f>
        <v>5333.4500000000007</v>
      </c>
      <c r="CK114" s="66">
        <f>+CI114/CJ114</f>
        <v>5.1692619223954468</v>
      </c>
      <c r="CL114" s="3" t="str">
        <f>CONCATENATE(IF(CB114&gt;0,"kotlovnica/toplotna postaja, ",""),IF(CF114&gt;0,"razsvetljava, ",""),IF(CG114&gt;0,"energetsko upravljanje, ",""),IF(CH114&gt;0,"manjši investicijski in organizacijski ukrepi, ",""))</f>
        <v xml:space="preserve">razsvetljava, energetsko upravljanje, manjši investicijski in organizacijski ukrepi, </v>
      </c>
      <c r="CM114" s="9">
        <f>+CJ114*0.9</f>
        <v>4800.1050000000005</v>
      </c>
      <c r="CN114" s="9">
        <f>+CJ114*0.9</f>
        <v>4800.1050000000005</v>
      </c>
      <c r="CO114" s="9">
        <f>+CJ114*0.9</f>
        <v>4800.1050000000005</v>
      </c>
      <c r="CP114" s="69">
        <f>+IF(CI114-SUM(CM114:CO114)&lt;0,0,CI114-SUM(CM114:CO114))</f>
        <v>13169.684999999998</v>
      </c>
      <c r="CQ114" s="9">
        <f>+(BQ114*CE114*faktorji!$B$24)+(BQ114^0.5*CC114*4*4*0.66*faktorji!$B$22)+(BQ114^0.5*CD114*4*4*0.33*faktorji!$B$25)</f>
        <v>0</v>
      </c>
      <c r="CR114" s="3" t="str">
        <f t="shared" si="35"/>
        <v/>
      </c>
      <c r="CS114" s="9">
        <f>+BQ114*('MOL_tabela rezultatov'!CH114*faktorji!$B$26)+faktorji!$B$27*CG114</f>
        <v>27570</v>
      </c>
      <c r="CT114" s="3" t="str">
        <f t="shared" si="33"/>
        <v xml:space="preserve">energetsko upravljanje, manjši investicijski in organizacijski ukrepi, </v>
      </c>
      <c r="CU114" s="9">
        <f t="shared" si="62"/>
        <v>6892.5</v>
      </c>
      <c r="CV114" s="9">
        <f t="shared" ref="CV114:CX114" si="86">+CU114</f>
        <v>6892.5</v>
      </c>
      <c r="CW114" s="9">
        <f t="shared" si="86"/>
        <v>6892.5</v>
      </c>
      <c r="CX114" s="69">
        <f t="shared" si="86"/>
        <v>6892.5</v>
      </c>
    </row>
    <row r="115" spans="1:102" s="10" customFormat="1" ht="18" hidden="1" customHeight="1">
      <c r="A115" s="54" t="s">
        <v>859</v>
      </c>
      <c r="B115" s="2" t="s">
        <v>1441</v>
      </c>
      <c r="C115" s="57"/>
      <c r="D115" s="57"/>
      <c r="E115" s="51" t="s">
        <v>1176</v>
      </c>
      <c r="F115" s="51"/>
      <c r="G115" s="51">
        <v>3</v>
      </c>
      <c r="H115" s="51"/>
      <c r="I115" s="51"/>
      <c r="J115" s="51">
        <v>7</v>
      </c>
      <c r="K115" s="37" t="s">
        <v>1243</v>
      </c>
      <c r="L115" s="50"/>
      <c r="M115" s="4" t="s">
        <v>5</v>
      </c>
      <c r="N115" s="25">
        <v>34</v>
      </c>
      <c r="O115" s="25"/>
      <c r="P115" s="25"/>
      <c r="Q115" s="25"/>
      <c r="R115" s="25"/>
      <c r="S115" s="25"/>
      <c r="T115" s="25">
        <v>9.5</v>
      </c>
      <c r="U115" s="25">
        <v>43.5</v>
      </c>
      <c r="V115" s="30">
        <v>19.387755102040817</v>
      </c>
      <c r="W115" s="30">
        <v>69.387755102040813</v>
      </c>
      <c r="X115" s="31"/>
      <c r="Y115" s="31"/>
      <c r="Z115" s="31"/>
      <c r="AA115" s="31"/>
      <c r="AB115" s="31"/>
      <c r="AC115" s="31"/>
      <c r="AD115" s="31"/>
      <c r="AE115" s="32"/>
      <c r="AF115" s="16"/>
      <c r="AG115" s="3"/>
      <c r="AH115" s="4"/>
      <c r="AI115" s="6">
        <v>490</v>
      </c>
      <c r="AJ115" s="38">
        <v>100</v>
      </c>
      <c r="AK115" s="3"/>
      <c r="AL115" s="1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7"/>
      <c r="BB115" s="37"/>
      <c r="BC115" s="37">
        <v>7.8</v>
      </c>
      <c r="BD115" s="37">
        <v>10.199999999999999</v>
      </c>
      <c r="BE115" s="37">
        <v>9</v>
      </c>
      <c r="BF115" s="37">
        <v>9.4</v>
      </c>
      <c r="BG115" s="42">
        <v>34</v>
      </c>
      <c r="BH115" s="42"/>
      <c r="BI115" s="42"/>
      <c r="BJ115" s="42"/>
      <c r="BK115" s="44">
        <v>34</v>
      </c>
      <c r="BL115" s="44">
        <v>9.1</v>
      </c>
      <c r="BM115" s="44">
        <f>+BK115+BL115</f>
        <v>43.1</v>
      </c>
      <c r="BN115" s="47">
        <v>188.88888888888889</v>
      </c>
      <c r="BO115" s="47">
        <v>50.555555555555557</v>
      </c>
      <c r="BP115" s="45">
        <v>239.44444444444446</v>
      </c>
      <c r="BQ115" s="9">
        <v>180</v>
      </c>
      <c r="BR115" s="4"/>
      <c r="BS115" s="4"/>
      <c r="BT115" s="4" t="s">
        <v>872</v>
      </c>
      <c r="BU115" s="4"/>
      <c r="BV115" s="4" t="s">
        <v>871</v>
      </c>
      <c r="BW115" s="4"/>
      <c r="BX115" s="4" t="s">
        <v>996</v>
      </c>
      <c r="BY115" s="9">
        <f>+INT(BK115*faktorji!$B$3)</f>
        <v>2210</v>
      </c>
      <c r="BZ115" s="9">
        <f>+INT(BL115*faktorji!$B$4)</f>
        <v>1501</v>
      </c>
      <c r="CA115" s="4"/>
      <c r="CB115" s="4">
        <v>0</v>
      </c>
      <c r="CC115" s="4">
        <v>0</v>
      </c>
      <c r="CD115" s="4">
        <v>0</v>
      </c>
      <c r="CE115" s="4">
        <v>0</v>
      </c>
      <c r="CF115" s="4">
        <v>1</v>
      </c>
      <c r="CG115" s="4">
        <v>1</v>
      </c>
      <c r="CH115" s="4">
        <v>1</v>
      </c>
      <c r="CI115" s="9">
        <f>+BQ115*(CB115*faktorji!$B$21+'MOL_tabela rezultatov'!CF303*faktorji!$B$23+'MOL_tabela rezultatov'!CH303*faktorji!$B$26)+faktorji!$B$27*CG115</f>
        <v>20970</v>
      </c>
      <c r="CJ115" s="9">
        <f>+(BZ115*CF115*faktorji!$B$18)+(CG115*faktorji!$B$17*('MOL_tabela rezultatov'!BY303+'MOL_tabela rezultatov'!BZ303))+('MOL_tabela rezultatov'!CH303*faktorji!$B$16*'MOL_tabela rezultatov'!BY303)+('MOL_tabela rezultatov'!CB303*faktorji!$B$12*'MOL_tabela rezultatov'!BY303)</f>
        <v>1621.15</v>
      </c>
      <c r="CK115" s="66">
        <f>+CI115/CJ115</f>
        <v>12.93526200536656</v>
      </c>
      <c r="CL115" s="3" t="str">
        <f>CONCATENATE(IF(CB115&gt;0,"kotlovnica/toplotna postaja, ",""),IF(CF115&gt;0,"razsvetljava, ",""),IF(CG115&gt;0,"energetsko upravljanje, ",""),IF(CH115&gt;0,"manjši investicijski in organizacijski ukrepi, ",""))</f>
        <v xml:space="preserve">razsvetljava, energetsko upravljanje, manjši investicijski in organizacijski ukrepi, </v>
      </c>
      <c r="CM115" s="9">
        <f>+CJ115*0.9</f>
        <v>1459.0350000000001</v>
      </c>
      <c r="CN115" s="9">
        <f>+CJ115*0.9</f>
        <v>1459.0350000000001</v>
      </c>
      <c r="CO115" s="9">
        <f>+CJ115*0.9</f>
        <v>1459.0350000000001</v>
      </c>
      <c r="CP115" s="69">
        <f>+IF(CI115-SUM(CM115:CO115)&lt;0,0,CI115-SUM(CM115:CO115))</f>
        <v>16592.895</v>
      </c>
      <c r="CQ115" s="9">
        <f>+(BQ115*CE115*faktorji!$B$24)+(BQ115^0.5*CC115*4*4*0.66*faktorji!$B$22)+(BQ115^0.5*CD115*4*4*0.33*faktorji!$B$25)</f>
        <v>0</v>
      </c>
      <c r="CR115" s="3" t="str">
        <f t="shared" si="35"/>
        <v/>
      </c>
      <c r="CS115" s="9">
        <f>+BQ115*('MOL_tabela rezultatov'!CH115*faktorji!$B$26)+faktorji!$B$27*CG115</f>
        <v>18270</v>
      </c>
      <c r="CT115" s="3" t="str">
        <f t="shared" si="33"/>
        <v xml:space="preserve">energetsko upravljanje, manjši investicijski in organizacijski ukrepi, </v>
      </c>
      <c r="CU115" s="9">
        <f t="shared" si="62"/>
        <v>4567.5</v>
      </c>
      <c r="CV115" s="9">
        <f t="shared" ref="CV115:CX115" si="87">+CU115</f>
        <v>4567.5</v>
      </c>
      <c r="CW115" s="9">
        <f t="shared" si="87"/>
        <v>4567.5</v>
      </c>
      <c r="CX115" s="69">
        <f t="shared" si="87"/>
        <v>4567.5</v>
      </c>
    </row>
    <row r="116" spans="1:102" s="10" customFormat="1" ht="18" hidden="1" customHeight="1">
      <c r="A116" s="53" t="s">
        <v>834</v>
      </c>
      <c r="B116" s="2" t="s">
        <v>1442</v>
      </c>
      <c r="C116" s="57"/>
      <c r="D116" s="57"/>
      <c r="E116" s="51" t="s">
        <v>1176</v>
      </c>
      <c r="F116" s="51"/>
      <c r="G116" s="51" t="s">
        <v>1366</v>
      </c>
      <c r="H116" s="51" t="s">
        <v>1255</v>
      </c>
      <c r="I116" s="74" t="s">
        <v>1282</v>
      </c>
      <c r="J116" s="51">
        <v>1</v>
      </c>
      <c r="K116" s="37" t="s">
        <v>1243</v>
      </c>
      <c r="L116" s="50">
        <v>2013</v>
      </c>
      <c r="M116" s="4" t="s">
        <v>5</v>
      </c>
      <c r="N116" s="25">
        <v>223</v>
      </c>
      <c r="O116" s="25"/>
      <c r="P116" s="25"/>
      <c r="Q116" s="25"/>
      <c r="R116" s="25"/>
      <c r="S116" s="25"/>
      <c r="T116" s="27">
        <v>26.642749999999999</v>
      </c>
      <c r="U116" s="25">
        <v>249.64275000000001</v>
      </c>
      <c r="V116" s="30">
        <v>20.494423076923077</v>
      </c>
      <c r="W116" s="30">
        <v>171.53846153846155</v>
      </c>
      <c r="X116" s="31"/>
      <c r="Y116" s="31"/>
      <c r="Z116" s="31"/>
      <c r="AA116" s="31"/>
      <c r="AB116" s="31"/>
      <c r="AC116" s="31"/>
      <c r="AD116" s="31"/>
      <c r="AE116" s="32"/>
      <c r="AF116" s="16"/>
      <c r="AG116" s="3"/>
      <c r="AH116" s="4"/>
      <c r="AI116" s="12">
        <v>1300</v>
      </c>
      <c r="AJ116" s="38">
        <v>100</v>
      </c>
      <c r="AK116" s="3"/>
      <c r="AL116" s="1" t="s">
        <v>421</v>
      </c>
      <c r="AM116" s="37"/>
      <c r="AN116" s="37"/>
      <c r="AO116" s="37"/>
      <c r="AP116" s="37"/>
      <c r="AQ116" s="37">
        <f>(1859*9.5)/1000</f>
        <v>17.660499999999999</v>
      </c>
      <c r="AR116" s="37">
        <f>(1411*9.5)/1000</f>
        <v>13.404500000000001</v>
      </c>
      <c r="AS116" s="37">
        <f>(1377*9.5)/1000</f>
        <v>13.0815</v>
      </c>
      <c r="AT116" s="37">
        <f>(1635*9.5)/1000</f>
        <v>15.532500000000001</v>
      </c>
      <c r="AU116" s="37"/>
      <c r="AV116" s="37"/>
      <c r="AW116" s="37"/>
      <c r="AX116" s="37"/>
      <c r="AY116" s="37"/>
      <c r="AZ116" s="37"/>
      <c r="BA116" s="37"/>
      <c r="BB116" s="37"/>
      <c r="BC116" s="37">
        <v>98.1</v>
      </c>
      <c r="BD116" s="37">
        <v>98</v>
      </c>
      <c r="BE116" s="37">
        <v>94.7</v>
      </c>
      <c r="BF116" s="37">
        <v>88.5</v>
      </c>
      <c r="BG116" s="42">
        <v>288.2</v>
      </c>
      <c r="BH116" s="42">
        <v>14.919749999999999</v>
      </c>
      <c r="BI116" s="43"/>
      <c r="BJ116" s="43"/>
      <c r="BK116" s="107">
        <v>284.5</v>
      </c>
      <c r="BL116" s="107">
        <v>97</v>
      </c>
      <c r="BM116" s="107">
        <f>+BK116+BL116</f>
        <v>381.5</v>
      </c>
      <c r="BN116" s="108">
        <f>+BK116*1000/BQ116</f>
        <v>179.26906112161311</v>
      </c>
      <c r="BO116" s="108">
        <f>+BL116*1000/BQ116</f>
        <v>61.12161310649023</v>
      </c>
      <c r="BP116" s="109">
        <f>+BO116+BN116</f>
        <v>240.39067422810334</v>
      </c>
      <c r="BQ116" s="106">
        <v>1587</v>
      </c>
      <c r="BR116" s="110">
        <v>308</v>
      </c>
      <c r="BS116" s="110">
        <v>1995</v>
      </c>
      <c r="BT116" s="110" t="s">
        <v>872</v>
      </c>
      <c r="BU116" s="4"/>
      <c r="BV116" s="4" t="s">
        <v>993</v>
      </c>
      <c r="BW116" s="4"/>
      <c r="BX116" s="4"/>
      <c r="BY116" s="106">
        <v>13640</v>
      </c>
      <c r="BZ116" s="106">
        <v>12870</v>
      </c>
      <c r="CA116" s="114" t="s">
        <v>1428</v>
      </c>
      <c r="CB116" s="4">
        <v>0</v>
      </c>
      <c r="CC116" s="4">
        <v>0</v>
      </c>
      <c r="CD116" s="4">
        <v>0</v>
      </c>
      <c r="CE116" s="4">
        <v>0</v>
      </c>
      <c r="CF116" s="4">
        <v>0</v>
      </c>
      <c r="CG116" s="4">
        <v>0</v>
      </c>
      <c r="CH116" s="4">
        <v>0</v>
      </c>
      <c r="CI116" s="106">
        <v>35500</v>
      </c>
      <c r="CJ116" s="106">
        <v>4290</v>
      </c>
      <c r="CK116" s="115">
        <f>+CI116/CJ116</f>
        <v>8.2750582750582744</v>
      </c>
      <c r="CL116" s="3" t="str">
        <f>CONCATENATE(IF(CB116&gt;0,"kotlovnica/toplotna postaja, ",""),IF(CF116&gt;0,"razsvetljava, ",""),IF(CG116&gt;0,"energetsko upravljanje, ",""),IF(CH116&gt;0,"manjši investicijski in organizacijski ukrepi, ",""))</f>
        <v/>
      </c>
      <c r="CM116" s="9">
        <f>+CJ116*0.9</f>
        <v>3861</v>
      </c>
      <c r="CN116" s="9">
        <f>+CJ116*0.9</f>
        <v>3861</v>
      </c>
      <c r="CO116" s="9">
        <f>+CJ116*0.9</f>
        <v>3861</v>
      </c>
      <c r="CP116" s="69">
        <f>+IF(CI116-SUM(CM116:CO116)&lt;0,0,CI116-SUM(CM116:CO116))</f>
        <v>23917</v>
      </c>
      <c r="CQ116" s="9">
        <f>+(BQ116*CE116*faktorji!$B$24)+(BQ116^0.5*CC116*4*4*0.66*faktorji!$B$22)+(BQ116^0.5*CD116*4*4*0.33*faktorji!$B$25)</f>
        <v>0</v>
      </c>
      <c r="CR116" s="3" t="str">
        <f t="shared" si="35"/>
        <v/>
      </c>
      <c r="CS116" s="9">
        <f>+BQ116*('MOL_tabela rezultatov'!CH116*faktorji!$B$26)+faktorji!$B$27*CG116</f>
        <v>0</v>
      </c>
      <c r="CT116" s="3" t="str">
        <f t="shared" si="33"/>
        <v/>
      </c>
      <c r="CU116" s="9">
        <f t="shared" si="62"/>
        <v>0</v>
      </c>
      <c r="CV116" s="9">
        <f t="shared" ref="CV116:CX116" si="88">+CU116</f>
        <v>0</v>
      </c>
      <c r="CW116" s="9">
        <f t="shared" si="88"/>
        <v>0</v>
      </c>
      <c r="CX116" s="69">
        <f t="shared" si="88"/>
        <v>0</v>
      </c>
    </row>
    <row r="117" spans="1:102" s="10" customFormat="1" ht="18" hidden="1" customHeight="1">
      <c r="A117" s="54" t="s">
        <v>186</v>
      </c>
      <c r="B117" s="3" t="s">
        <v>187</v>
      </c>
      <c r="C117" s="56"/>
      <c r="D117" s="56"/>
      <c r="E117" s="51" t="s">
        <v>1170</v>
      </c>
      <c r="F117" s="51"/>
      <c r="G117" s="51">
        <v>3</v>
      </c>
      <c r="H117" s="51"/>
      <c r="I117" s="51"/>
      <c r="J117" s="51">
        <v>7</v>
      </c>
      <c r="K117" s="37" t="s">
        <v>1243</v>
      </c>
      <c r="L117" s="50"/>
      <c r="M117" s="4" t="s">
        <v>5</v>
      </c>
      <c r="N117" s="25">
        <v>473</v>
      </c>
      <c r="O117" s="25"/>
      <c r="P117" s="25"/>
      <c r="Q117" s="25"/>
      <c r="R117" s="25"/>
      <c r="S117" s="25"/>
      <c r="T117" s="25">
        <v>243.3065104290321</v>
      </c>
      <c r="U117" s="25"/>
      <c r="V117" s="30">
        <v>64.881736114408568</v>
      </c>
      <c r="W117" s="30">
        <v>126.13333333333334</v>
      </c>
      <c r="X117" s="31"/>
      <c r="Y117" s="31"/>
      <c r="Z117" s="31"/>
      <c r="AA117" s="31"/>
      <c r="AB117" s="31"/>
      <c r="AC117" s="31"/>
      <c r="AD117" s="31"/>
      <c r="AE117" s="32">
        <v>0</v>
      </c>
      <c r="AF117" s="1" t="s">
        <v>188</v>
      </c>
      <c r="AG117" s="4"/>
      <c r="AH117" s="4">
        <v>2004</v>
      </c>
      <c r="AI117" s="6">
        <v>3750</v>
      </c>
      <c r="AJ117" s="38"/>
      <c r="AK117" s="3"/>
      <c r="AL117" s="1" t="s">
        <v>189</v>
      </c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>
        <v>236</v>
      </c>
      <c r="BD117" s="37">
        <v>309.54000000000002</v>
      </c>
      <c r="BE117" s="37">
        <v>304.35000000000002</v>
      </c>
      <c r="BF117" s="37">
        <v>266.57</v>
      </c>
      <c r="BG117" s="42">
        <v>429</v>
      </c>
      <c r="BH117" s="42"/>
      <c r="BI117" s="42"/>
      <c r="BJ117" s="42"/>
      <c r="BK117" s="44">
        <v>429</v>
      </c>
      <c r="BL117" s="44">
        <v>279.11500000000001</v>
      </c>
      <c r="BM117" s="44">
        <f>+BK117+BL117</f>
        <v>708.11500000000001</v>
      </c>
      <c r="BN117" s="47">
        <v>105.71710202069985</v>
      </c>
      <c r="BO117" s="47">
        <v>68.781419418432719</v>
      </c>
      <c r="BP117" s="45">
        <v>174.49852143913259</v>
      </c>
      <c r="BQ117" s="9">
        <v>4058</v>
      </c>
      <c r="BR117" s="4">
        <v>215</v>
      </c>
      <c r="BS117" s="4">
        <v>2004</v>
      </c>
      <c r="BT117" s="4" t="s">
        <v>1122</v>
      </c>
      <c r="BU117" s="4" t="s">
        <v>119</v>
      </c>
      <c r="BV117" s="4" t="s">
        <v>1123</v>
      </c>
      <c r="BW117" s="1" t="s">
        <v>1124</v>
      </c>
      <c r="BX117" s="4"/>
      <c r="BY117" s="9">
        <f>+INT(BK117*faktorji!$B$3)</f>
        <v>27885</v>
      </c>
      <c r="BZ117" s="9">
        <f>+INT(BL117*faktorji!$B$4)</f>
        <v>46053</v>
      </c>
      <c r="CA117" s="4"/>
      <c r="CB117" s="4">
        <v>0</v>
      </c>
      <c r="CC117" s="4">
        <v>0</v>
      </c>
      <c r="CD117" s="4">
        <v>0</v>
      </c>
      <c r="CE117" s="4">
        <v>0</v>
      </c>
      <c r="CF117" s="4">
        <v>1</v>
      </c>
      <c r="CG117" s="4">
        <v>1</v>
      </c>
      <c r="CH117" s="4">
        <v>1</v>
      </c>
      <c r="CI117" s="9" t="e">
        <f>+BQ117*(CB117*faktorji!$B$21+'MOL_tabela rezultatov'!#REF!*faktorji!$B$23+'MOL_tabela rezultatov'!#REF!*faktorji!$B$26)+faktorji!$B$27*CG117</f>
        <v>#REF!</v>
      </c>
      <c r="CJ117" s="9" t="e">
        <f>+(BZ117*CF117*faktorji!$B$18)+(CG117*faktorji!$B$17*('MOL_tabela rezultatov'!#REF!+'MOL_tabela rezultatov'!#REF!))+('MOL_tabela rezultatov'!#REF!*faktorji!$B$16*'MOL_tabela rezultatov'!#REF!)+('MOL_tabela rezultatov'!#REF!*faktorji!$B$12*'MOL_tabela rezultatov'!#REF!)</f>
        <v>#REF!</v>
      </c>
      <c r="CK117" s="66" t="e">
        <f>+CI117/CJ117</f>
        <v>#REF!</v>
      </c>
      <c r="CL117" s="3" t="str">
        <f>CONCATENATE(IF(CB117&gt;0,"kotlovnica/toplotna postaja, ",""),IF(CF117&gt;0,"razsvetljava, ",""),IF(CG117&gt;0,"energetsko upravljanje, ",""),IF(CH117&gt;0,"manjši investicijski in organizacijski ukrepi, ",""))</f>
        <v xml:space="preserve">razsvetljava, energetsko upravljanje, manjši investicijski in organizacijski ukrepi, </v>
      </c>
      <c r="CM117" s="9" t="e">
        <f>+CJ117*0.9</f>
        <v>#REF!</v>
      </c>
      <c r="CN117" s="9" t="e">
        <f>+CJ117*0.9</f>
        <v>#REF!</v>
      </c>
      <c r="CO117" s="9" t="e">
        <f>+CJ117*0.9</f>
        <v>#REF!</v>
      </c>
      <c r="CP117" s="69" t="e">
        <f>+IF(CI117-SUM(CM117:CO117)&lt;0,0,CI117-SUM(CM117:CO117))</f>
        <v>#REF!</v>
      </c>
      <c r="CQ117" s="9">
        <f>+(BQ117*CE117*faktorji!$B$24)+(BQ117^0.5*CC117*4*4*0.66*faktorji!$B$22)+(BQ117^0.5*CD117*4*4*0.33*faktorji!$B$25)</f>
        <v>0</v>
      </c>
      <c r="CR117" s="3" t="str">
        <f t="shared" si="35"/>
        <v/>
      </c>
      <c r="CS117" s="9">
        <f>+BQ117*('MOL_tabela rezultatov'!CH117*faktorji!$B$26)+faktorji!$B$27*CG117</f>
        <v>24087</v>
      </c>
      <c r="CT117" s="3" t="str">
        <f t="shared" si="33"/>
        <v xml:space="preserve">energetsko upravljanje, manjši investicijski in organizacijski ukrepi, </v>
      </c>
      <c r="CU117" s="9">
        <f t="shared" si="62"/>
        <v>6021.75</v>
      </c>
      <c r="CV117" s="9">
        <f t="shared" ref="CV117:CX117" si="89">+CU117</f>
        <v>6021.75</v>
      </c>
      <c r="CW117" s="9">
        <f t="shared" si="89"/>
        <v>6021.75</v>
      </c>
      <c r="CX117" s="69">
        <f t="shared" si="89"/>
        <v>6021.75</v>
      </c>
    </row>
    <row r="118" spans="1:102" s="10" customFormat="1" ht="18" hidden="1" customHeight="1">
      <c r="A118" s="53" t="s">
        <v>248</v>
      </c>
      <c r="B118" s="2" t="s">
        <v>254</v>
      </c>
      <c r="C118" s="57"/>
      <c r="D118" s="57"/>
      <c r="E118" s="51" t="s">
        <v>1173</v>
      </c>
      <c r="F118" s="51"/>
      <c r="G118" s="51">
        <v>3</v>
      </c>
      <c r="H118" s="51"/>
      <c r="I118" s="51"/>
      <c r="J118" s="51">
        <v>7</v>
      </c>
      <c r="K118" s="37" t="s">
        <v>1241</v>
      </c>
      <c r="L118" s="50"/>
      <c r="M118" s="4" t="s">
        <v>5</v>
      </c>
      <c r="N118" s="25">
        <v>66.97</v>
      </c>
      <c r="O118" s="25"/>
      <c r="P118" s="25"/>
      <c r="Q118" s="25"/>
      <c r="R118" s="25"/>
      <c r="S118" s="25"/>
      <c r="T118" s="25">
        <v>2.87</v>
      </c>
      <c r="U118" s="25">
        <v>69.84</v>
      </c>
      <c r="V118" s="30">
        <v>10.25</v>
      </c>
      <c r="W118" s="30">
        <v>239.17857142857142</v>
      </c>
      <c r="X118" s="31">
        <v>37.880000000000003</v>
      </c>
      <c r="Y118" s="31"/>
      <c r="Z118" s="31"/>
      <c r="AA118" s="31"/>
      <c r="AB118" s="31"/>
      <c r="AC118" s="31">
        <v>2.52</v>
      </c>
      <c r="AD118" s="31"/>
      <c r="AE118" s="32">
        <v>135.28571428571428</v>
      </c>
      <c r="AF118" s="1"/>
      <c r="AG118" s="4"/>
      <c r="AH118" s="4"/>
      <c r="AI118" s="6">
        <v>280</v>
      </c>
      <c r="AJ118" s="38">
        <v>100</v>
      </c>
      <c r="AK118" s="3"/>
      <c r="AL118" s="1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  <c r="BF118" s="37"/>
      <c r="BG118" s="42">
        <v>66.97</v>
      </c>
      <c r="BH118" s="42"/>
      <c r="BI118" s="42"/>
      <c r="BJ118" s="42"/>
      <c r="BK118" s="44">
        <v>66.97</v>
      </c>
      <c r="BL118" s="44">
        <v>2.87</v>
      </c>
      <c r="BM118" s="44">
        <f>+BK118+BL118</f>
        <v>69.84</v>
      </c>
      <c r="BN118" s="47">
        <v>239.17857142857142</v>
      </c>
      <c r="BO118" s="47">
        <v>10.25</v>
      </c>
      <c r="BP118" s="45">
        <v>249.42857142857142</v>
      </c>
      <c r="BQ118" s="9">
        <v>280</v>
      </c>
      <c r="BR118" s="4"/>
      <c r="BS118" s="4"/>
      <c r="BT118" s="4"/>
      <c r="BU118" s="4"/>
      <c r="BV118" s="4"/>
      <c r="BW118" s="4"/>
      <c r="BX118" s="4"/>
      <c r="BY118" s="9">
        <f>+INT(BK118*faktorji!$B$3)</f>
        <v>4353</v>
      </c>
      <c r="BZ118" s="9">
        <f>+INT(BL118*faktorji!$B$4)</f>
        <v>473</v>
      </c>
      <c r="CA118" s="4"/>
      <c r="CB118" s="4">
        <v>0</v>
      </c>
      <c r="CC118" s="4">
        <v>0</v>
      </c>
      <c r="CD118" s="4">
        <v>0</v>
      </c>
      <c r="CE118" s="4">
        <v>0</v>
      </c>
      <c r="CF118" s="4">
        <v>1</v>
      </c>
      <c r="CG118" s="4">
        <v>1</v>
      </c>
      <c r="CH118" s="4">
        <v>1</v>
      </c>
      <c r="CI118" s="9">
        <f>+BQ118*(CB118*faktorji!$B$21+'MOL_tabela rezultatov'!CF91*faktorji!$B$23+'MOL_tabela rezultatov'!CH91*faktorji!$B$26)+faktorji!$B$27*CG118</f>
        <v>22620</v>
      </c>
      <c r="CJ118" s="9">
        <f>+(BZ118*CF118*faktorji!$B$18)+(CG118*faktorji!$B$17*('MOL_tabela rezultatov'!BY91+'MOL_tabela rezultatov'!BZ91))+('MOL_tabela rezultatov'!CH91*faktorji!$B$16*'MOL_tabela rezultatov'!BY91)+('MOL_tabela rezultatov'!CB91*faktorji!$B$12*'MOL_tabela rezultatov'!BY91)</f>
        <v>2441.8500000000004</v>
      </c>
      <c r="CK118" s="66">
        <f>+CI118/CJ118</f>
        <v>9.2634682720068788</v>
      </c>
      <c r="CL118" s="3" t="str">
        <f>CONCATENATE(IF(CB118&gt;0,"kotlovnica/toplotna postaja, ",""),IF(CF118&gt;0,"razsvetljava, ",""),IF(CG118&gt;0,"energetsko upravljanje, ",""),IF(CH118&gt;0,"manjši investicijski in organizacijski ukrepi, ",""))</f>
        <v xml:space="preserve">razsvetljava, energetsko upravljanje, manjši investicijski in organizacijski ukrepi, </v>
      </c>
      <c r="CM118" s="9">
        <f>+CJ118*0.9</f>
        <v>2197.6650000000004</v>
      </c>
      <c r="CN118" s="9">
        <f>+CJ118*0.9</f>
        <v>2197.6650000000004</v>
      </c>
      <c r="CO118" s="9">
        <f>+CJ118*0.9</f>
        <v>2197.6650000000004</v>
      </c>
      <c r="CP118" s="69">
        <f>+IF(CI118-SUM(CM118:CO118)&lt;0,0,CI118-SUM(CM118:CO118))</f>
        <v>16027.004999999999</v>
      </c>
      <c r="CQ118" s="9">
        <f>+(BQ118*CE118*faktorji!$B$24)+(BQ118^0.5*CC118*4*4*0.66*faktorji!$B$22)+(BQ118^0.5*CD118*4*4*0.33*faktorji!$B$25)</f>
        <v>0</v>
      </c>
      <c r="CR118" s="3" t="str">
        <f t="shared" si="35"/>
        <v/>
      </c>
      <c r="CS118" s="9">
        <f>+BQ118*('MOL_tabela rezultatov'!CH118*faktorji!$B$26)+faktorji!$B$27*CG118</f>
        <v>18420</v>
      </c>
      <c r="CT118" s="3" t="str">
        <f t="shared" si="33"/>
        <v xml:space="preserve">energetsko upravljanje, manjši investicijski in organizacijski ukrepi, </v>
      </c>
      <c r="CU118" s="9">
        <f t="shared" si="62"/>
        <v>4605</v>
      </c>
      <c r="CV118" s="9">
        <f t="shared" ref="CV118:CX118" si="90">+CU118</f>
        <v>4605</v>
      </c>
      <c r="CW118" s="9">
        <f t="shared" si="90"/>
        <v>4605</v>
      </c>
      <c r="CX118" s="69">
        <f t="shared" si="90"/>
        <v>4605</v>
      </c>
    </row>
    <row r="119" spans="1:102" s="10" customFormat="1" ht="18" hidden="1" customHeight="1">
      <c r="A119" s="53" t="s">
        <v>466</v>
      </c>
      <c r="B119" s="2" t="s">
        <v>467</v>
      </c>
      <c r="C119" s="57"/>
      <c r="D119" s="57"/>
      <c r="E119" s="51" t="s">
        <v>1175</v>
      </c>
      <c r="F119" s="51"/>
      <c r="G119" s="51">
        <v>3</v>
      </c>
      <c r="H119" s="51"/>
      <c r="I119" s="51"/>
      <c r="J119" s="51">
        <v>7</v>
      </c>
      <c r="K119" s="37" t="s">
        <v>1243</v>
      </c>
      <c r="L119" s="50"/>
      <c r="M119" s="4" t="s">
        <v>5</v>
      </c>
      <c r="N119" s="28">
        <v>324</v>
      </c>
      <c r="O119" s="25"/>
      <c r="P119" s="25"/>
      <c r="Q119" s="25"/>
      <c r="R119" s="25"/>
      <c r="S119" s="25"/>
      <c r="T119" s="25">
        <v>81.962999999999994</v>
      </c>
      <c r="U119" s="25">
        <v>405.96299999999997</v>
      </c>
      <c r="V119" s="30">
        <v>19.826560232220608</v>
      </c>
      <c r="W119" s="30">
        <v>78.374455732946302</v>
      </c>
      <c r="X119" s="31"/>
      <c r="Y119" s="31"/>
      <c r="Z119" s="31"/>
      <c r="AA119" s="31"/>
      <c r="AB119" s="31"/>
      <c r="AC119" s="31"/>
      <c r="AD119" s="31"/>
      <c r="AE119" s="32"/>
      <c r="AF119" s="16" t="s">
        <v>468</v>
      </c>
      <c r="AG119" s="3"/>
      <c r="AH119" s="4"/>
      <c r="AI119" s="6">
        <v>4134</v>
      </c>
      <c r="AJ119" s="38">
        <v>100</v>
      </c>
      <c r="AK119" s="3"/>
      <c r="AL119" s="1" t="s">
        <v>469</v>
      </c>
      <c r="AM119" s="39"/>
      <c r="AN119" s="39"/>
      <c r="AO119" s="39"/>
      <c r="AP119" s="39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  <c r="BA119" s="37"/>
      <c r="BB119" s="37"/>
      <c r="BC119" s="37">
        <v>75.47</v>
      </c>
      <c r="BD119" s="37">
        <v>74.22</v>
      </c>
      <c r="BE119" s="37">
        <v>72.33</v>
      </c>
      <c r="BF119" s="37">
        <v>71.959999999999994</v>
      </c>
      <c r="BG119" s="42">
        <v>322.95999999999998</v>
      </c>
      <c r="BH119" s="42"/>
      <c r="BI119" s="42"/>
      <c r="BJ119" s="42"/>
      <c r="BK119" s="44">
        <v>322.95999999999998</v>
      </c>
      <c r="BL119" s="44">
        <v>73.49499999999999</v>
      </c>
      <c r="BM119" s="44">
        <f>+BK119+BL119</f>
        <v>396.45499999999998</v>
      </c>
      <c r="BN119" s="47">
        <v>146.268115942029</v>
      </c>
      <c r="BO119" s="47">
        <v>33.285778985507243</v>
      </c>
      <c r="BP119" s="45">
        <v>179.55389492753622</v>
      </c>
      <c r="BQ119" s="9">
        <v>2208</v>
      </c>
      <c r="BR119" s="4"/>
      <c r="BS119" s="4"/>
      <c r="BT119" s="4" t="s">
        <v>872</v>
      </c>
      <c r="BU119" s="4"/>
      <c r="BV119" s="4" t="s">
        <v>1022</v>
      </c>
      <c r="BW119" s="4"/>
      <c r="BX119" s="4"/>
      <c r="BY119" s="9">
        <f>+INT(BK119*faktorji!$B$3)</f>
        <v>20992</v>
      </c>
      <c r="BZ119" s="9">
        <f>+INT(BL119*faktorji!$B$4)</f>
        <v>12126</v>
      </c>
      <c r="CA119" s="4"/>
      <c r="CB119" s="4">
        <v>1</v>
      </c>
      <c r="CC119" s="4">
        <v>1</v>
      </c>
      <c r="CD119" s="4">
        <v>0</v>
      </c>
      <c r="CE119" s="4">
        <v>0</v>
      </c>
      <c r="CF119" s="4">
        <v>0</v>
      </c>
      <c r="CG119" s="4">
        <v>1</v>
      </c>
      <c r="CH119" s="4">
        <v>1</v>
      </c>
      <c r="CI119" s="9">
        <f>+BQ119*(CB119*faktorji!$B$21+'MOL_tabela rezultatov'!CF181*faktorji!$B$23+'MOL_tabela rezultatov'!CH181*faktorji!$B$26)+faktorji!$B$27*CG119</f>
        <v>54432</v>
      </c>
      <c r="CJ119" s="9">
        <f>+(BZ119*CF119*faktorji!$B$18)+(CG119*faktorji!$B$17*('MOL_tabela rezultatov'!BY181+'MOL_tabela rezultatov'!BZ181))+('MOL_tabela rezultatov'!CH181*faktorji!$B$16*'MOL_tabela rezultatov'!BY181)+('MOL_tabela rezultatov'!CB181*faktorji!$B$12*'MOL_tabela rezultatov'!BY181)</f>
        <v>1440.9</v>
      </c>
      <c r="CK119" s="66">
        <f>+CI119/CJ119</f>
        <v>37.776389756402246</v>
      </c>
      <c r="CL119" s="3" t="str">
        <f>CONCATENATE(IF(CB119&gt;0,"kotlovnica/toplotna postaja, ",""),IF(CF119&gt;0,"razsvetljava, ",""),IF(CG119&gt;0,"energetsko upravljanje, ",""),IF(CH119&gt;0,"manjši investicijski in organizacijski ukrepi, ",""))</f>
        <v xml:space="preserve">kotlovnica/toplotna postaja, energetsko upravljanje, manjši investicijski in organizacijski ukrepi, </v>
      </c>
      <c r="CM119" s="9">
        <f>+CJ119*0.9</f>
        <v>1296.8100000000002</v>
      </c>
      <c r="CN119" s="9">
        <f>+CJ119*0.9</f>
        <v>1296.8100000000002</v>
      </c>
      <c r="CO119" s="9">
        <f>+CJ119*0.9</f>
        <v>1296.8100000000002</v>
      </c>
      <c r="CP119" s="69">
        <f>+IF(CI119-SUM(CM119:CO119)&lt;0,0,CI119-SUM(CM119:CO119))</f>
        <v>50541.57</v>
      </c>
      <c r="CQ119" s="9">
        <f>+(BQ119*CE119*faktorji!$B$24)+(BQ119^0.5*CC119*4*4*0.66*faktorji!$B$22)+(BQ119^0.5*CD119*4*4*0.33*faktorji!$B$25)</f>
        <v>34734.535280035059</v>
      </c>
      <c r="CR119" s="3" t="str">
        <f t="shared" si="35"/>
        <v xml:space="preserve">izolacija ovoja, </v>
      </c>
      <c r="CS119" s="9">
        <f>+BQ119*('MOL_tabela rezultatov'!CH119*faktorji!$B$26)+faktorji!$B$27*CG119</f>
        <v>21312</v>
      </c>
      <c r="CT119" s="3" t="str">
        <f t="shared" si="33"/>
        <v xml:space="preserve">energetsko upravljanje, manjši investicijski in organizacijski ukrepi, </v>
      </c>
      <c r="CU119" s="9">
        <f t="shared" si="62"/>
        <v>5328</v>
      </c>
      <c r="CV119" s="9">
        <f t="shared" ref="CV119:CX119" si="91">+CU119</f>
        <v>5328</v>
      </c>
      <c r="CW119" s="9">
        <f t="shared" si="91"/>
        <v>5328</v>
      </c>
      <c r="CX119" s="69">
        <f t="shared" si="91"/>
        <v>5328</v>
      </c>
    </row>
    <row r="120" spans="1:102" s="10" customFormat="1" ht="18" hidden="1" customHeight="1">
      <c r="A120" s="54" t="s">
        <v>238</v>
      </c>
      <c r="B120" s="3" t="s">
        <v>239</v>
      </c>
      <c r="C120" s="56"/>
      <c r="D120" s="56"/>
      <c r="E120" s="51" t="s">
        <v>1170</v>
      </c>
      <c r="F120" s="51"/>
      <c r="G120" s="51">
        <v>3</v>
      </c>
      <c r="H120" s="51"/>
      <c r="I120" s="51"/>
      <c r="J120" s="51">
        <v>7</v>
      </c>
      <c r="K120" s="37" t="s">
        <v>1244</v>
      </c>
      <c r="L120" s="50"/>
      <c r="M120" s="1" t="s">
        <v>5</v>
      </c>
      <c r="N120" s="25">
        <v>5.48</v>
      </c>
      <c r="O120" s="25"/>
      <c r="P120" s="25"/>
      <c r="Q120" s="27">
        <v>11</v>
      </c>
      <c r="R120" s="25"/>
      <c r="S120" s="25"/>
      <c r="T120" s="25">
        <v>15.600000000000001</v>
      </c>
      <c r="U120" s="25">
        <v>21.080000000000002</v>
      </c>
      <c r="V120" s="30">
        <v>48.75</v>
      </c>
      <c r="W120" s="30">
        <v>51.5</v>
      </c>
      <c r="X120" s="31"/>
      <c r="Y120" s="31"/>
      <c r="Z120" s="31"/>
      <c r="AA120" s="31"/>
      <c r="AB120" s="31"/>
      <c r="AC120" s="31"/>
      <c r="AD120" s="31"/>
      <c r="AE120" s="32"/>
      <c r="AF120" s="1" t="s">
        <v>240</v>
      </c>
      <c r="AG120" s="4"/>
      <c r="AH120" s="4"/>
      <c r="AI120" s="6">
        <v>320</v>
      </c>
      <c r="AJ120" s="38"/>
      <c r="AK120" s="3"/>
      <c r="AL120" s="1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  <c r="BA120" s="37"/>
      <c r="BB120" s="37"/>
      <c r="BC120" s="37"/>
      <c r="BD120" s="37"/>
      <c r="BE120" s="37"/>
      <c r="BF120" s="37"/>
      <c r="BG120" s="42">
        <v>7.5</v>
      </c>
      <c r="BH120" s="42"/>
      <c r="BI120" s="42"/>
      <c r="BJ120" s="42"/>
      <c r="BK120" s="44">
        <v>7.5</v>
      </c>
      <c r="BL120" s="44">
        <v>15.6</v>
      </c>
      <c r="BM120" s="44">
        <f>+BK120+BL120</f>
        <v>23.1</v>
      </c>
      <c r="BN120" s="47">
        <v>23.4375</v>
      </c>
      <c r="BO120" s="47">
        <v>48.75</v>
      </c>
      <c r="BP120" s="45">
        <v>72.1875</v>
      </c>
      <c r="BQ120" s="9">
        <v>320</v>
      </c>
      <c r="BR120" s="4"/>
      <c r="BS120" s="4"/>
      <c r="BT120" s="4"/>
      <c r="BU120" s="4"/>
      <c r="BV120" s="4"/>
      <c r="BW120" s="4"/>
      <c r="BX120" s="4"/>
      <c r="BY120" s="9">
        <f>+INT(BK120*faktorji!$B$3)</f>
        <v>487</v>
      </c>
      <c r="BZ120" s="9">
        <f>+INT(BL120*faktorji!$B$4)</f>
        <v>2574</v>
      </c>
      <c r="CA120" s="4"/>
      <c r="CB120" s="4">
        <v>0</v>
      </c>
      <c r="CC120" s="4">
        <v>0</v>
      </c>
      <c r="CD120" s="4">
        <v>0</v>
      </c>
      <c r="CE120" s="4">
        <v>0</v>
      </c>
      <c r="CF120" s="4">
        <v>1</v>
      </c>
      <c r="CG120" s="4">
        <v>1</v>
      </c>
      <c r="CH120" s="4">
        <v>1</v>
      </c>
      <c r="CI120" s="9">
        <f>+BQ120*(CB120*faktorji!$B$21+'MOL_tabela rezultatov'!CF85*faktorji!$B$23+'MOL_tabela rezultatov'!CH85*faktorji!$B$26)+faktorji!$B$27*CG120</f>
        <v>18000</v>
      </c>
      <c r="CJ120" s="9">
        <f>+(BZ120*CF120*faktorji!$B$18)+(CG120*faktorji!$B$17*('MOL_tabela rezultatov'!BY85+'MOL_tabela rezultatov'!BZ85))+('MOL_tabela rezultatov'!CH85*faktorji!$B$16*'MOL_tabela rezultatov'!BY85)+('MOL_tabela rezultatov'!CB85*faktorji!$B$12*'MOL_tabela rezultatov'!BY85)</f>
        <v>386.09999999999997</v>
      </c>
      <c r="CK120" s="66">
        <f>+CI120/CJ120</f>
        <v>46.620046620046622</v>
      </c>
      <c r="CL120" s="3" t="str">
        <f>CONCATENATE(IF(CB120&gt;0,"kotlovnica/toplotna postaja, ",""),IF(CF120&gt;0,"razsvetljava, ",""),IF(CG120&gt;0,"energetsko upravljanje, ",""),IF(CH120&gt;0,"manjši investicijski in organizacijski ukrepi, ",""))</f>
        <v xml:space="preserve">razsvetljava, energetsko upravljanje, manjši investicijski in organizacijski ukrepi, </v>
      </c>
      <c r="CM120" s="9">
        <f>+CJ120*0.9</f>
        <v>347.48999999999995</v>
      </c>
      <c r="CN120" s="9">
        <f>+CJ120*0.9</f>
        <v>347.48999999999995</v>
      </c>
      <c r="CO120" s="9">
        <f>+CJ120*0.9</f>
        <v>347.48999999999995</v>
      </c>
      <c r="CP120" s="69">
        <f>+IF(CI120-SUM(CM120:CO120)&lt;0,0,CI120-SUM(CM120:CO120))</f>
        <v>16957.53</v>
      </c>
      <c r="CQ120" s="9">
        <f>+(BQ120*CE120*faktorji!$B$24)+(BQ120^0.5*CC120*4*4*0.66*faktorji!$B$22)+(BQ120^0.5*CD120*4*4*0.33*faktorji!$B$25)</f>
        <v>0</v>
      </c>
      <c r="CR120" s="3" t="str">
        <f t="shared" si="35"/>
        <v/>
      </c>
      <c r="CS120" s="9">
        <f>+BQ120*('MOL_tabela rezultatov'!CH120*faktorji!$B$26)+faktorji!$B$27*CG120</f>
        <v>18480</v>
      </c>
      <c r="CT120" s="3" t="str">
        <f t="shared" si="33"/>
        <v xml:space="preserve">energetsko upravljanje, manjši investicijski in organizacijski ukrepi, </v>
      </c>
      <c r="CU120" s="9">
        <f t="shared" si="62"/>
        <v>4620</v>
      </c>
      <c r="CV120" s="9">
        <f t="shared" ref="CV120:CX120" si="92">+CU120</f>
        <v>4620</v>
      </c>
      <c r="CW120" s="9">
        <f t="shared" si="92"/>
        <v>4620</v>
      </c>
      <c r="CX120" s="69">
        <f t="shared" si="92"/>
        <v>4620</v>
      </c>
    </row>
    <row r="121" spans="1:102" s="10" customFormat="1" ht="18" hidden="1" customHeight="1">
      <c r="A121" s="54" t="s">
        <v>190</v>
      </c>
      <c r="B121" s="3" t="s">
        <v>191</v>
      </c>
      <c r="C121" s="56"/>
      <c r="D121" s="56"/>
      <c r="E121" s="51" t="s">
        <v>1170</v>
      </c>
      <c r="F121" s="51"/>
      <c r="G121" s="51">
        <v>3</v>
      </c>
      <c r="H121" s="51"/>
      <c r="I121" s="51"/>
      <c r="J121" s="51">
        <v>7</v>
      </c>
      <c r="K121" s="37" t="s">
        <v>1243</v>
      </c>
      <c r="L121" s="50"/>
      <c r="M121" s="4" t="s">
        <v>5</v>
      </c>
      <c r="N121" s="25">
        <v>75.849999999999994</v>
      </c>
      <c r="O121" s="25"/>
      <c r="P121" s="25"/>
      <c r="Q121" s="25"/>
      <c r="R121" s="25"/>
      <c r="S121" s="25"/>
      <c r="T121" s="25">
        <v>38.929041668645134</v>
      </c>
      <c r="U121" s="25"/>
      <c r="V121" s="30">
        <v>64.881736114408568</v>
      </c>
      <c r="W121" s="30">
        <v>126.41666666666667</v>
      </c>
      <c r="X121" s="31"/>
      <c r="Y121" s="31"/>
      <c r="Z121" s="31"/>
      <c r="AA121" s="31"/>
      <c r="AB121" s="31"/>
      <c r="AC121" s="31"/>
      <c r="AD121" s="31"/>
      <c r="AE121" s="32">
        <v>0</v>
      </c>
      <c r="AF121" s="1" t="s">
        <v>192</v>
      </c>
      <c r="AG121" s="4"/>
      <c r="AH121" s="4">
        <v>2002</v>
      </c>
      <c r="AI121" s="6">
        <v>600</v>
      </c>
      <c r="AJ121" s="38"/>
      <c r="AK121" s="3"/>
      <c r="AL121" s="1" t="s">
        <v>194</v>
      </c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>
        <v>32.340000000000003</v>
      </c>
      <c r="BD121" s="37">
        <v>31.59</v>
      </c>
      <c r="BE121" s="37">
        <v>37.770000000000003</v>
      </c>
      <c r="BF121" s="37">
        <v>35.44</v>
      </c>
      <c r="BG121" s="42">
        <v>61.93</v>
      </c>
      <c r="BH121" s="42"/>
      <c r="BI121" s="42"/>
      <c r="BJ121" s="42"/>
      <c r="BK121" s="44">
        <v>61.93</v>
      </c>
      <c r="BL121" s="44">
        <v>34.285000000000004</v>
      </c>
      <c r="BM121" s="44">
        <f>+BK121+BL121</f>
        <v>96.215000000000003</v>
      </c>
      <c r="BN121" s="47">
        <v>95.276923076923083</v>
      </c>
      <c r="BO121" s="47">
        <v>52.746153846153859</v>
      </c>
      <c r="BP121" s="45">
        <v>148.02307692307693</v>
      </c>
      <c r="BQ121" s="9">
        <v>650</v>
      </c>
      <c r="BR121" s="4">
        <v>76.7</v>
      </c>
      <c r="BS121" s="4">
        <v>2000</v>
      </c>
      <c r="BT121" s="1" t="s">
        <v>1118</v>
      </c>
      <c r="BU121" s="4" t="s">
        <v>1119</v>
      </c>
      <c r="BV121" s="4" t="s">
        <v>870</v>
      </c>
      <c r="BW121" s="4"/>
      <c r="BX121" s="4"/>
      <c r="BY121" s="9">
        <f>+INT(BK121*faktorji!$B$3)</f>
        <v>4025</v>
      </c>
      <c r="BZ121" s="9">
        <f>+INT(BL121*faktorji!$B$4)</f>
        <v>5657</v>
      </c>
      <c r="CA121" s="4"/>
      <c r="CB121" s="4">
        <v>0</v>
      </c>
      <c r="CC121" s="4">
        <v>0</v>
      </c>
      <c r="CD121" s="4">
        <v>0</v>
      </c>
      <c r="CE121" s="4">
        <v>0</v>
      </c>
      <c r="CF121" s="4">
        <v>1</v>
      </c>
      <c r="CG121" s="4">
        <v>1</v>
      </c>
      <c r="CH121" s="4">
        <v>1</v>
      </c>
      <c r="CI121" s="9">
        <f>+BQ121*(CB121*faktorji!$B$21+'MOL_tabela rezultatov'!CF68*faktorji!$B$23+'MOL_tabela rezultatov'!CH68*faktorji!$B$26)+faktorji!$B$27*CG121</f>
        <v>28725</v>
      </c>
      <c r="CJ121" s="9">
        <f>+(BZ121*CF121*faktorji!$B$18)+(CG121*faktorji!$B$17*('MOL_tabela rezultatov'!BY68+'MOL_tabela rezultatov'!BZ68))+('MOL_tabela rezultatov'!CH68*faktorji!$B$16*'MOL_tabela rezultatov'!BY68)+('MOL_tabela rezultatov'!CB68*faktorji!$B$12*'MOL_tabela rezultatov'!BY68)</f>
        <v>17888.05</v>
      </c>
      <c r="CK121" s="66">
        <f>+CI121/CJ121</f>
        <v>1.6058206456265496</v>
      </c>
      <c r="CL121" s="3" t="str">
        <f>CONCATENATE(IF(CB121&gt;0,"kotlovnica/toplotna postaja, ",""),IF(CF121&gt;0,"razsvetljava, ",""),IF(CG121&gt;0,"energetsko upravljanje, ",""),IF(CH121&gt;0,"manjši investicijski in organizacijski ukrepi, ",""))</f>
        <v xml:space="preserve">razsvetljava, energetsko upravljanje, manjši investicijski in organizacijski ukrepi, </v>
      </c>
      <c r="CM121" s="9">
        <f>+CJ121*0.9</f>
        <v>16099.244999999999</v>
      </c>
      <c r="CN121" s="9">
        <f>+CJ121*0.9</f>
        <v>16099.244999999999</v>
      </c>
      <c r="CO121" s="9">
        <f>+CJ121*0.9</f>
        <v>16099.244999999999</v>
      </c>
      <c r="CP121" s="69">
        <f>+IF(CI121-SUM(CM121:CO121)&lt;0,0,CI121-SUM(CM121:CO121))</f>
        <v>0</v>
      </c>
      <c r="CQ121" s="9">
        <f>+(BQ121*CE121*faktorji!$B$24)+(BQ121^0.5*CC121*4*4*0.66*faktorji!$B$22)+(BQ121^0.5*CD121*4*4*0.33*faktorji!$B$25)</f>
        <v>0</v>
      </c>
      <c r="CR121" s="3" t="str">
        <f t="shared" si="35"/>
        <v/>
      </c>
      <c r="CS121" s="9">
        <f>+BQ121*('MOL_tabela rezultatov'!CH121*faktorji!$B$26)+faktorji!$B$27*CG121</f>
        <v>18975</v>
      </c>
      <c r="CT121" s="3" t="str">
        <f t="shared" si="33"/>
        <v xml:space="preserve">energetsko upravljanje, manjši investicijski in organizacijski ukrepi, </v>
      </c>
      <c r="CU121" s="9">
        <f t="shared" si="62"/>
        <v>4743.75</v>
      </c>
      <c r="CV121" s="9">
        <f t="shared" ref="CV121:CX121" si="93">+CU121</f>
        <v>4743.75</v>
      </c>
      <c r="CW121" s="9">
        <f t="shared" si="93"/>
        <v>4743.75</v>
      </c>
      <c r="CX121" s="69">
        <f t="shared" si="93"/>
        <v>4743.75</v>
      </c>
    </row>
    <row r="122" spans="1:102" s="10" customFormat="1" ht="18" hidden="1" customHeight="1">
      <c r="A122" s="53" t="s">
        <v>693</v>
      </c>
      <c r="B122" s="2" t="s">
        <v>694</v>
      </c>
      <c r="C122" s="57"/>
      <c r="D122" s="57"/>
      <c r="E122" s="51" t="s">
        <v>1176</v>
      </c>
      <c r="F122" s="51"/>
      <c r="G122" s="51">
        <v>2</v>
      </c>
      <c r="H122" s="51" t="s">
        <v>1253</v>
      </c>
      <c r="I122" s="51"/>
      <c r="J122" s="51">
        <v>2</v>
      </c>
      <c r="K122" s="37" t="s">
        <v>1243</v>
      </c>
      <c r="L122" s="50"/>
      <c r="M122" s="4" t="s">
        <v>6</v>
      </c>
      <c r="N122" s="25"/>
      <c r="O122" s="25">
        <v>202.2</v>
      </c>
      <c r="P122" s="25"/>
      <c r="Q122" s="25"/>
      <c r="R122" s="25"/>
      <c r="S122" s="25"/>
      <c r="T122" s="25">
        <v>14.375999999999999</v>
      </c>
      <c r="U122" s="25">
        <v>216.57599999999999</v>
      </c>
      <c r="V122" s="30">
        <v>17.814126394052042</v>
      </c>
      <c r="W122" s="30">
        <v>250.55762081784385</v>
      </c>
      <c r="X122" s="31"/>
      <c r="Y122" s="31"/>
      <c r="Z122" s="31"/>
      <c r="AA122" s="31"/>
      <c r="AB122" s="31"/>
      <c r="AC122" s="31"/>
      <c r="AD122" s="31"/>
      <c r="AE122" s="32"/>
      <c r="AF122" s="16" t="s">
        <v>609</v>
      </c>
      <c r="AG122" s="3">
        <v>1997</v>
      </c>
      <c r="AH122" s="4"/>
      <c r="AI122" s="6">
        <v>807</v>
      </c>
      <c r="AJ122" s="38">
        <v>100</v>
      </c>
      <c r="AK122" s="3"/>
      <c r="AL122" s="1" t="s">
        <v>586</v>
      </c>
      <c r="AM122" s="37"/>
      <c r="AN122" s="37"/>
      <c r="AO122" s="37"/>
      <c r="AP122" s="37"/>
      <c r="AQ122" s="37">
        <f>(18723*9.5)/1000</f>
        <v>177.86850000000001</v>
      </c>
      <c r="AR122" s="37">
        <f>(27058*9.5)/1000</f>
        <v>257.05099999999999</v>
      </c>
      <c r="AS122" s="37">
        <f>(22095*9.5)/1000</f>
        <v>209.9025</v>
      </c>
      <c r="AT122" s="37">
        <f>(19419*9.5)/1000</f>
        <v>184.48050000000001</v>
      </c>
      <c r="AU122" s="37"/>
      <c r="AV122" s="37"/>
      <c r="AW122" s="37"/>
      <c r="AX122" s="37"/>
      <c r="AY122" s="37"/>
      <c r="AZ122" s="37"/>
      <c r="BA122" s="37"/>
      <c r="BB122" s="37"/>
      <c r="BC122" s="37">
        <v>43.4</v>
      </c>
      <c r="BD122" s="37">
        <v>37.700000000000003</v>
      </c>
      <c r="BE122" s="37">
        <v>36.700000000000003</v>
      </c>
      <c r="BF122" s="37">
        <v>42.9</v>
      </c>
      <c r="BG122" s="42"/>
      <c r="BH122" s="42">
        <v>207.325625</v>
      </c>
      <c r="BI122" s="42"/>
      <c r="BJ122" s="42"/>
      <c r="BK122" s="44">
        <v>207.325625</v>
      </c>
      <c r="BL122" s="44">
        <v>40.174999999999997</v>
      </c>
      <c r="BM122" s="44">
        <f>+BK122+BL122</f>
        <v>247.50062500000001</v>
      </c>
      <c r="BN122" s="47">
        <v>214.62280020703935</v>
      </c>
      <c r="BO122" s="47">
        <v>41.58902691511387</v>
      </c>
      <c r="BP122" s="45">
        <v>256.21182712215318</v>
      </c>
      <c r="BQ122" s="9">
        <v>966</v>
      </c>
      <c r="BR122" s="1">
        <v>225</v>
      </c>
      <c r="BS122" s="4">
        <v>1997</v>
      </c>
      <c r="BT122" s="4" t="s">
        <v>872</v>
      </c>
      <c r="BU122" s="4"/>
      <c r="BV122" s="4" t="s">
        <v>913</v>
      </c>
      <c r="BW122" s="4"/>
      <c r="BX122" s="1" t="s">
        <v>863</v>
      </c>
      <c r="BY122" s="9">
        <f>+INT(BK122*faktorji!$B$5)</f>
        <v>19695</v>
      </c>
      <c r="BZ122" s="9">
        <f>+INT(BL122*faktorji!$B$4)</f>
        <v>6628</v>
      </c>
      <c r="CA122" s="3" t="s">
        <v>1304</v>
      </c>
      <c r="CB122" s="4">
        <v>1</v>
      </c>
      <c r="CC122" s="4">
        <v>1</v>
      </c>
      <c r="CD122" s="4">
        <v>0</v>
      </c>
      <c r="CE122" s="4">
        <v>0</v>
      </c>
      <c r="CF122" s="4">
        <v>1</v>
      </c>
      <c r="CG122" s="4">
        <v>1</v>
      </c>
      <c r="CH122" s="4">
        <v>1</v>
      </c>
      <c r="CI122" s="9">
        <f>+BQ122*(CB122*faktorji!$B$21+'MOL_tabela rezultatov'!CF256*faktorji!$B$23+'MOL_tabela rezultatov'!CH256*faktorji!$B$26)+faktorji!$B$27*CG122</f>
        <v>48429</v>
      </c>
      <c r="CJ122" s="9">
        <f>+(BZ122*CF122*faktorji!$B$18)+(CG122*faktorji!$B$17*('MOL_tabela rezultatov'!BY256+'MOL_tabela rezultatov'!BZ256))+('MOL_tabela rezultatov'!CH256*faktorji!$B$16*'MOL_tabela rezultatov'!BY256)+('MOL_tabela rezultatov'!CB256*faktorji!$B$12*'MOL_tabela rezultatov'!BY256)</f>
        <v>1950.3999999999996</v>
      </c>
      <c r="CK122" s="66">
        <f>+CI122/CJ122</f>
        <v>24.830291222313377</v>
      </c>
      <c r="CL122" s="3" t="str">
        <f>CONCATENATE(IF(CB122&gt;0,"kotlovnica/toplotna postaja, ",""),IF(CF122&gt;0,"razsvetljava, ",""),IF(CG122&gt;0,"energetsko upravljanje, ",""),IF(CH122&gt;0,"manjši investicijski in organizacijski ukrepi, ",""))</f>
        <v xml:space="preserve">kotlovnica/toplotna postaja, razsvetljava, energetsko upravljanje, manjši investicijski in organizacijski ukrepi, </v>
      </c>
      <c r="CM122" s="9">
        <f>+CJ122*0.9</f>
        <v>1755.3599999999997</v>
      </c>
      <c r="CN122" s="9">
        <f>+CJ122*0.9</f>
        <v>1755.3599999999997</v>
      </c>
      <c r="CO122" s="9">
        <f>+CJ122*0.9</f>
        <v>1755.3599999999997</v>
      </c>
      <c r="CP122" s="69">
        <f>+IF(CI122-SUM(CM122:CO122)&lt;0,0,CI122-SUM(CM122:CO122))</f>
        <v>43162.92</v>
      </c>
      <c r="CQ122" s="9">
        <f>+(BQ122*CE122*faktorji!$B$24)+(BQ122^0.5*CC122*4*4*0.66*faktorji!$B$22)+(BQ122^0.5*CD122*4*4*0.33*faktorji!$B$25)</f>
        <v>22974.735564093007</v>
      </c>
      <c r="CR122" s="3" t="str">
        <f t="shared" si="35"/>
        <v xml:space="preserve">izolacija ovoja, </v>
      </c>
      <c r="CS122" s="9">
        <f>+BQ122*('MOL_tabela rezultatov'!CH122*faktorji!$B$26)+faktorji!$B$27*CG122</f>
        <v>19449</v>
      </c>
      <c r="CT122" s="3" t="str">
        <f t="shared" si="33"/>
        <v xml:space="preserve">energetsko upravljanje, manjši investicijski in organizacijski ukrepi, </v>
      </c>
      <c r="CU122" s="9">
        <f t="shared" si="62"/>
        <v>4862.25</v>
      </c>
      <c r="CV122" s="9">
        <f t="shared" ref="CV122:CX122" si="94">+CU122</f>
        <v>4862.25</v>
      </c>
      <c r="CW122" s="9">
        <f t="shared" si="94"/>
        <v>4862.25</v>
      </c>
      <c r="CX122" s="69">
        <f t="shared" si="94"/>
        <v>4862.25</v>
      </c>
    </row>
    <row r="123" spans="1:102" s="10" customFormat="1" ht="18" hidden="1" customHeight="1">
      <c r="A123" s="73" t="s">
        <v>745</v>
      </c>
      <c r="B123" s="2" t="s">
        <v>846</v>
      </c>
      <c r="C123" s="57"/>
      <c r="D123" s="57"/>
      <c r="E123" s="51" t="s">
        <v>1176</v>
      </c>
      <c r="F123" s="51"/>
      <c r="G123" s="51" t="s">
        <v>1366</v>
      </c>
      <c r="H123" s="71" t="s">
        <v>1282</v>
      </c>
      <c r="I123" s="75" t="s">
        <v>1336</v>
      </c>
      <c r="J123" s="51">
        <v>1</v>
      </c>
      <c r="K123" s="37" t="s">
        <v>1243</v>
      </c>
      <c r="L123" s="50" t="s">
        <v>1333</v>
      </c>
      <c r="M123" s="4" t="s">
        <v>7</v>
      </c>
      <c r="N123" s="25"/>
      <c r="O123" s="25"/>
      <c r="P123" s="25">
        <v>140</v>
      </c>
      <c r="Q123" s="25"/>
      <c r="R123" s="25"/>
      <c r="S123" s="25"/>
      <c r="T123" s="25">
        <v>6.1159999999999997</v>
      </c>
      <c r="U123" s="25">
        <v>146.11599999999999</v>
      </c>
      <c r="V123" s="30">
        <v>11.099818511796732</v>
      </c>
      <c r="W123" s="30">
        <v>254.08348457350272</v>
      </c>
      <c r="X123" s="31"/>
      <c r="Y123" s="31"/>
      <c r="Z123" s="31"/>
      <c r="AA123" s="31"/>
      <c r="AB123" s="31"/>
      <c r="AC123" s="31"/>
      <c r="AD123" s="31"/>
      <c r="AE123" s="32"/>
      <c r="AF123" s="16" t="s">
        <v>746</v>
      </c>
      <c r="AG123" s="3">
        <v>1983</v>
      </c>
      <c r="AH123" s="4"/>
      <c r="AI123" s="6">
        <v>551</v>
      </c>
      <c r="AJ123" s="38">
        <v>100</v>
      </c>
      <c r="AK123" s="3"/>
      <c r="AL123" s="1" t="s">
        <v>421</v>
      </c>
      <c r="AM123" s="37"/>
      <c r="AN123" s="37"/>
      <c r="AO123" s="37"/>
      <c r="AP123" s="37"/>
      <c r="AQ123" s="37"/>
      <c r="AR123" s="37"/>
      <c r="AS123" s="37"/>
      <c r="AT123" s="37"/>
      <c r="AU123" s="37">
        <v>140</v>
      </c>
      <c r="AV123" s="37">
        <v>203</v>
      </c>
      <c r="AW123" s="37">
        <v>105</v>
      </c>
      <c r="AX123" s="37">
        <v>115</v>
      </c>
      <c r="AY123" s="37"/>
      <c r="AZ123" s="37"/>
      <c r="BA123" s="37"/>
      <c r="BB123" s="37"/>
      <c r="BC123" s="37">
        <v>17.8</v>
      </c>
      <c r="BD123" s="37">
        <v>14.8</v>
      </c>
      <c r="BE123" s="37">
        <v>15.5</v>
      </c>
      <c r="BF123" s="37">
        <v>12.4</v>
      </c>
      <c r="BG123" s="42"/>
      <c r="BH123" s="42"/>
      <c r="BI123" s="42">
        <v>140.75</v>
      </c>
      <c r="BJ123" s="42"/>
      <c r="BK123" s="44">
        <v>140.75</v>
      </c>
      <c r="BL123" s="44">
        <v>15.125</v>
      </c>
      <c r="BM123" s="44">
        <f>+BK123+BL123</f>
        <v>155.875</v>
      </c>
      <c r="BN123" s="47">
        <v>255.44464609800363</v>
      </c>
      <c r="BO123" s="47">
        <v>27.450090744101633</v>
      </c>
      <c r="BP123" s="45">
        <v>282.89473684210526</v>
      </c>
      <c r="BQ123" s="9">
        <v>551</v>
      </c>
      <c r="BR123" s="4"/>
      <c r="BS123" s="4">
        <v>1984</v>
      </c>
      <c r="BT123" s="4" t="s">
        <v>872</v>
      </c>
      <c r="BU123" s="4"/>
      <c r="BV123" s="4"/>
      <c r="BW123" s="4"/>
      <c r="BX123" s="4" t="s">
        <v>938</v>
      </c>
      <c r="BY123" s="9">
        <f>+INT(BK123*faktorji!$B$6)</f>
        <v>17593</v>
      </c>
      <c r="BZ123" s="9">
        <f>+INT(BL123*faktorji!$B$4)</f>
        <v>2495</v>
      </c>
      <c r="CA123" s="2" t="s">
        <v>1330</v>
      </c>
      <c r="CB123" s="4">
        <v>0</v>
      </c>
      <c r="CC123" s="4">
        <v>0</v>
      </c>
      <c r="CD123" s="4">
        <v>0</v>
      </c>
      <c r="CE123" s="4">
        <v>0</v>
      </c>
      <c r="CF123" s="4">
        <v>0</v>
      </c>
      <c r="CG123" s="4">
        <v>0</v>
      </c>
      <c r="CH123" s="4">
        <v>0</v>
      </c>
      <c r="CI123" s="9">
        <v>30000</v>
      </c>
      <c r="CJ123" s="9">
        <f>+(BZ123*CF123*faktorji!$B$18)+(CG123*faktorji!$B$17*('MOL_tabela rezultatov'!BY272+'MOL_tabela rezultatov'!BZ272))+('MOL_tabela rezultatov'!CH272*faktorji!$B$16*'MOL_tabela rezultatov'!BY272)+('MOL_tabela rezultatov'!CB272*faktorji!$B$12*'MOL_tabela rezultatov'!BY272)</f>
        <v>48.800000000000004</v>
      </c>
      <c r="CK123" s="66">
        <f>+CI123/CJ123</f>
        <v>614.75409836065569</v>
      </c>
      <c r="CL123" s="3" t="str">
        <f>CONCATENATE(IF(CB123&gt;0,"kotlovnica/toplotna postaja, ",""),IF(CF123&gt;0,"razsvetljava, ",""),IF(CG123&gt;0,"energetsko upravljanje, ",""),IF(CH123&gt;0,"manjši investicijski in organizacijski ukrepi, ",""))</f>
        <v/>
      </c>
      <c r="CM123" s="9">
        <f>+CJ123*0.9</f>
        <v>43.92</v>
      </c>
      <c r="CN123" s="9">
        <f>+CJ123*0.9</f>
        <v>43.92</v>
      </c>
      <c r="CO123" s="9">
        <f>+CJ123*0.9</f>
        <v>43.92</v>
      </c>
      <c r="CP123" s="69">
        <f>+IF(CI123-SUM(CM123:CO123)&lt;0,0,CI123-SUM(CM123:CO123))</f>
        <v>29868.240000000002</v>
      </c>
      <c r="CQ123" s="9">
        <f>+(BQ123*CE123*faktorji!$B$24)+(BQ123^0.5*CC123*4*4*0.66*faktorji!$B$22)+(BQ123^0.5*CD123*4*4*0.33*faktorji!$B$25)</f>
        <v>0</v>
      </c>
      <c r="CR123" s="3" t="str">
        <f t="shared" si="35"/>
        <v/>
      </c>
      <c r="CS123" s="9">
        <f>+BQ123*('MOL_tabela rezultatov'!CH123*faktorji!$B$26)+faktorji!$B$27*CG123</f>
        <v>0</v>
      </c>
      <c r="CT123" s="3" t="str">
        <f t="shared" ref="CT123:CT183" si="95">CONCATENATE(IF(CG123&gt;0,"energetsko upravljanje, ",""),IF(CH123&gt;0,"manjši investicijski in organizacijski ukrepi, ",""))</f>
        <v/>
      </c>
      <c r="CU123" s="9">
        <f t="shared" si="62"/>
        <v>0</v>
      </c>
      <c r="CV123" s="9">
        <f t="shared" ref="CV123:CX123" si="96">+CU123</f>
        <v>0</v>
      </c>
      <c r="CW123" s="9">
        <f t="shared" si="96"/>
        <v>0</v>
      </c>
      <c r="CX123" s="69">
        <f t="shared" si="96"/>
        <v>0</v>
      </c>
    </row>
    <row r="124" spans="1:102" s="10" customFormat="1" ht="18" hidden="1" customHeight="1">
      <c r="A124" s="53" t="s">
        <v>476</v>
      </c>
      <c r="B124" s="2" t="s">
        <v>477</v>
      </c>
      <c r="C124" s="57"/>
      <c r="D124" s="57"/>
      <c r="E124" s="51" t="s">
        <v>1175</v>
      </c>
      <c r="F124" s="51"/>
      <c r="G124" s="51">
        <v>3</v>
      </c>
      <c r="H124" s="51"/>
      <c r="I124" s="51"/>
      <c r="J124" s="51">
        <v>7</v>
      </c>
      <c r="K124" s="37" t="s">
        <v>1244</v>
      </c>
      <c r="L124" s="50"/>
      <c r="M124" s="4" t="s">
        <v>5</v>
      </c>
      <c r="N124" s="28">
        <v>648</v>
      </c>
      <c r="O124" s="25"/>
      <c r="P124" s="25"/>
      <c r="Q124" s="25"/>
      <c r="R124" s="25"/>
      <c r="S124" s="25"/>
      <c r="T124" s="25">
        <v>145.11199999999999</v>
      </c>
      <c r="U124" s="25">
        <v>793.11199999999997</v>
      </c>
      <c r="V124" s="30">
        <v>27.900788309940395</v>
      </c>
      <c r="W124" s="30">
        <v>124.59142472601422</v>
      </c>
      <c r="X124" s="31"/>
      <c r="Y124" s="31"/>
      <c r="Z124" s="31"/>
      <c r="AA124" s="31"/>
      <c r="AB124" s="31"/>
      <c r="AC124" s="31"/>
      <c r="AD124" s="31"/>
      <c r="AE124" s="32"/>
      <c r="AF124" s="16" t="s">
        <v>431</v>
      </c>
      <c r="AG124" s="3">
        <v>2007</v>
      </c>
      <c r="AH124" s="4"/>
      <c r="AI124" s="6">
        <v>5201</v>
      </c>
      <c r="AJ124" s="38">
        <v>100</v>
      </c>
      <c r="AK124" s="3"/>
      <c r="AL124" s="1" t="s">
        <v>478</v>
      </c>
      <c r="AM124" s="39"/>
      <c r="AN124" s="39"/>
      <c r="AO124" s="39"/>
      <c r="AP124" s="39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37"/>
      <c r="BE124" s="37"/>
      <c r="BF124" s="37"/>
      <c r="BG124" s="42">
        <v>519.5</v>
      </c>
      <c r="BH124" s="42"/>
      <c r="BI124" s="42"/>
      <c r="BJ124" s="42"/>
      <c r="BK124" s="44">
        <v>519.5</v>
      </c>
      <c r="BL124" s="44">
        <v>145.11000000000001</v>
      </c>
      <c r="BM124" s="44">
        <f>+BK124+BL124</f>
        <v>664.61</v>
      </c>
      <c r="BN124" s="47">
        <v>99.884637569698128</v>
      </c>
      <c r="BO124" s="47">
        <v>27.900403768506056</v>
      </c>
      <c r="BP124" s="45">
        <v>127.78504133820419</v>
      </c>
      <c r="BQ124" s="9">
        <v>5201</v>
      </c>
      <c r="BR124" s="4"/>
      <c r="BS124" s="4"/>
      <c r="BT124" s="4"/>
      <c r="BU124" s="4"/>
      <c r="BV124" s="4"/>
      <c r="BW124" s="4"/>
      <c r="BX124" s="4"/>
      <c r="BY124" s="9">
        <f>+INT(BK124*faktorji!$B$3)</f>
        <v>33767</v>
      </c>
      <c r="BZ124" s="9">
        <f>+INT(BL124*faktorji!$B$4)</f>
        <v>23943</v>
      </c>
      <c r="CA124" s="4"/>
      <c r="CB124" s="4">
        <v>0</v>
      </c>
      <c r="CC124" s="4">
        <v>0</v>
      </c>
      <c r="CD124" s="4">
        <v>0</v>
      </c>
      <c r="CE124" s="4">
        <v>0</v>
      </c>
      <c r="CF124" s="4">
        <v>0</v>
      </c>
      <c r="CG124" s="4">
        <v>1</v>
      </c>
      <c r="CH124" s="4">
        <v>1</v>
      </c>
      <c r="CI124" s="9">
        <f>+BQ124*(CB124*faktorji!$B$21+'MOL_tabela rezultatov'!CF184*faktorji!$B$23+'MOL_tabela rezultatov'!CH184*faktorji!$B$26)+faktorji!$B$27*CG124</f>
        <v>103816.5</v>
      </c>
      <c r="CJ124" s="9">
        <f>+(BZ124*CF124*faktorji!$B$18)+(CG124*faktorji!$B$17*('MOL_tabela rezultatov'!BY184+'MOL_tabela rezultatov'!BZ184))+('MOL_tabela rezultatov'!CH184*faktorji!$B$16*'MOL_tabela rezultatov'!BY184)+('MOL_tabela rezultatov'!CB184*faktorji!$B$12*'MOL_tabela rezultatov'!BY184)</f>
        <v>704.30000000000007</v>
      </c>
      <c r="CK124" s="66">
        <f>+CI124/CJ124</f>
        <v>147.40380519664913</v>
      </c>
      <c r="CL124" s="3" t="str">
        <f>CONCATENATE(IF(CB124&gt;0,"kotlovnica/toplotna postaja, ",""),IF(CF124&gt;0,"razsvetljava, ",""),IF(CG124&gt;0,"energetsko upravljanje, ",""),IF(CH124&gt;0,"manjši investicijski in organizacijski ukrepi, ",""))</f>
        <v xml:space="preserve">energetsko upravljanje, manjši investicijski in organizacijski ukrepi, </v>
      </c>
      <c r="CM124" s="9">
        <f>+CJ124*0.9</f>
        <v>633.87000000000012</v>
      </c>
      <c r="CN124" s="9">
        <f>+CJ124*0.9</f>
        <v>633.87000000000012</v>
      </c>
      <c r="CO124" s="9">
        <f>+CJ124*0.9</f>
        <v>633.87000000000012</v>
      </c>
      <c r="CP124" s="69">
        <f>+IF(CI124-SUM(CM124:CO124)&lt;0,0,CI124-SUM(CM124:CO124))</f>
        <v>101914.89</v>
      </c>
      <c r="CQ124" s="9">
        <f>+(BQ124*CE124*faktorji!$B$24)+(BQ124^0.5*CC124*4*4*0.66*faktorji!$B$22)+(BQ124^0.5*CD124*4*4*0.33*faktorji!$B$25)</f>
        <v>0</v>
      </c>
      <c r="CR124" s="3" t="str">
        <f t="shared" ref="CR124:CR184" si="97">CONCATENATE(IF(CC124&gt;0,"izolacija ovoja, ",""),IF(CD124&gt;0,"stavbno pohištvo, ",""),IF(CE124&gt;0,"izolacija podstrešja, ",""))</f>
        <v/>
      </c>
      <c r="CS124" s="9">
        <f>+BQ124*('MOL_tabela rezultatov'!CH124*faktorji!$B$26)+faktorji!$B$27*CG124</f>
        <v>25801.5</v>
      </c>
      <c r="CT124" s="3" t="str">
        <f t="shared" si="95"/>
        <v xml:space="preserve">energetsko upravljanje, manjši investicijski in organizacijski ukrepi, </v>
      </c>
      <c r="CU124" s="9">
        <f t="shared" si="62"/>
        <v>6450.375</v>
      </c>
      <c r="CV124" s="9">
        <f t="shared" ref="CV124:CX124" si="98">+CU124</f>
        <v>6450.375</v>
      </c>
      <c r="CW124" s="9">
        <f t="shared" si="98"/>
        <v>6450.375</v>
      </c>
      <c r="CX124" s="69">
        <f t="shared" si="98"/>
        <v>6450.375</v>
      </c>
    </row>
    <row r="125" spans="1:102" s="10" customFormat="1" ht="18" hidden="1" customHeight="1">
      <c r="A125" s="54" t="s">
        <v>318</v>
      </c>
      <c r="B125" s="3" t="s">
        <v>320</v>
      </c>
      <c r="C125" s="56"/>
      <c r="D125" s="56"/>
      <c r="E125" s="51" t="s">
        <v>1174</v>
      </c>
      <c r="F125" s="51"/>
      <c r="G125" s="51">
        <v>4</v>
      </c>
      <c r="H125" s="51"/>
      <c r="I125" s="51"/>
      <c r="J125" s="51">
        <v>7</v>
      </c>
      <c r="K125" s="37" t="s">
        <v>1241</v>
      </c>
      <c r="L125" s="50"/>
      <c r="M125" s="1" t="s">
        <v>1186</v>
      </c>
      <c r="N125" s="25"/>
      <c r="O125" s="25"/>
      <c r="P125" s="25"/>
      <c r="Q125" s="25">
        <v>8.5177411398513065</v>
      </c>
      <c r="R125" s="25"/>
      <c r="S125" s="25"/>
      <c r="T125" s="25">
        <v>1.5961791803890055</v>
      </c>
      <c r="U125" s="25"/>
      <c r="V125" s="30">
        <v>26.602986339816759</v>
      </c>
      <c r="W125" s="30"/>
      <c r="X125" s="31"/>
      <c r="Y125" s="31"/>
      <c r="Z125" s="31"/>
      <c r="AA125" s="31"/>
      <c r="AB125" s="31"/>
      <c r="AC125" s="31"/>
      <c r="AD125" s="31"/>
      <c r="AE125" s="32"/>
      <c r="AF125" s="1"/>
      <c r="AG125" s="4"/>
      <c r="AH125" s="4"/>
      <c r="AI125" s="6">
        <v>60</v>
      </c>
      <c r="AJ125" s="38"/>
      <c r="AK125" s="3"/>
      <c r="AL125" s="1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7"/>
      <c r="AZ125" s="37"/>
      <c r="BA125" s="37"/>
      <c r="BB125" s="37"/>
      <c r="BC125" s="37"/>
      <c r="BD125" s="37"/>
      <c r="BE125" s="37"/>
      <c r="BF125" s="37"/>
      <c r="BG125" s="42"/>
      <c r="BH125" s="42"/>
      <c r="BI125" s="42"/>
      <c r="BJ125" s="42"/>
      <c r="BK125" s="44"/>
      <c r="BL125" s="44">
        <v>1.41</v>
      </c>
      <c r="BM125" s="44">
        <f>+BK125+BL125</f>
        <v>1.41</v>
      </c>
      <c r="BN125" s="47"/>
      <c r="BO125" s="47">
        <v>23.5</v>
      </c>
      <c r="BP125" s="45">
        <v>23.5</v>
      </c>
      <c r="BQ125" s="6">
        <v>60</v>
      </c>
      <c r="BR125" s="4"/>
      <c r="BS125" s="4"/>
      <c r="BT125" s="4"/>
      <c r="BU125" s="4"/>
      <c r="BV125" s="4"/>
      <c r="BW125" s="4"/>
      <c r="BX125" s="4"/>
      <c r="BY125" s="9">
        <f>+INT(BK125*faktorji!$B$4)</f>
        <v>0</v>
      </c>
      <c r="BZ125" s="9">
        <f>+INT(BL125*faktorji!$B$4)</f>
        <v>232</v>
      </c>
      <c r="CA125" s="4"/>
      <c r="CB125" s="4">
        <v>0</v>
      </c>
      <c r="CC125" s="4">
        <v>0</v>
      </c>
      <c r="CD125" s="4">
        <v>0</v>
      </c>
      <c r="CE125" s="4">
        <v>0</v>
      </c>
      <c r="CF125" s="4">
        <v>1</v>
      </c>
      <c r="CG125" s="4">
        <v>1</v>
      </c>
      <c r="CH125" s="4">
        <v>1</v>
      </c>
      <c r="CI125" s="9">
        <f>+BQ125*(CB125*faktorji!$B$21+'MOL_tabela rezultatov'!CF127*faktorji!$B$23+'MOL_tabela rezultatov'!CH127*faktorji!$B$26)+faktorji!$B$27*CG125</f>
        <v>18900</v>
      </c>
      <c r="CJ125" s="9">
        <f>+(BZ125*CF125*faktorji!$B$18)+(CG125*faktorji!$B$17*('MOL_tabela rezultatov'!BY127+'MOL_tabela rezultatov'!BZ127))+('MOL_tabela rezultatov'!CH127*faktorji!$B$16*'MOL_tabela rezultatov'!BY127)+('MOL_tabela rezultatov'!CB127*faktorji!$B$12*'MOL_tabela rezultatov'!BY127)</f>
        <v>9655.4000000000015</v>
      </c>
      <c r="CK125" s="66">
        <f>+CI125/CJ125</f>
        <v>1.9574538600161564</v>
      </c>
      <c r="CL125" s="3" t="str">
        <f>CONCATENATE(IF(CB125&gt;0,"kotlovnica/toplotna postaja, ",""),IF(CF125&gt;0,"razsvetljava, ",""),IF(CG125&gt;0,"energetsko upravljanje, ",""),IF(CH125&gt;0,"manjši investicijski in organizacijski ukrepi, ",""))</f>
        <v xml:space="preserve">razsvetljava, energetsko upravljanje, manjši investicijski in organizacijski ukrepi, </v>
      </c>
      <c r="CM125" s="9">
        <f>+CJ125*0.9</f>
        <v>8689.8600000000024</v>
      </c>
      <c r="CN125" s="9">
        <f>+CJ125*0.9</f>
        <v>8689.8600000000024</v>
      </c>
      <c r="CO125" s="9">
        <f>+CJ125*0.9</f>
        <v>8689.8600000000024</v>
      </c>
      <c r="CP125" s="69">
        <f>+IF(CI125-SUM(CM125:CO125)&lt;0,0,CI125-SUM(CM125:CO125))</f>
        <v>0</v>
      </c>
      <c r="CQ125" s="9">
        <f>+(BQ125*CE125*faktorji!$B$24)+(BQ125^0.5*CC125*4*4*0.66*faktorji!$B$22)+(BQ125^0.5*CD125*4*4*0.33*faktorji!$B$25)</f>
        <v>0</v>
      </c>
      <c r="CR125" s="3" t="str">
        <f t="shared" si="97"/>
        <v/>
      </c>
      <c r="CS125" s="9">
        <f>+BQ125*('MOL_tabela rezultatov'!CH125*faktorji!$B$26)+faktorji!$B$27*CG125</f>
        <v>18090</v>
      </c>
      <c r="CT125" s="3" t="str">
        <f t="shared" si="95"/>
        <v xml:space="preserve">energetsko upravljanje, manjši investicijski in organizacijski ukrepi, </v>
      </c>
      <c r="CU125" s="9">
        <f t="shared" si="62"/>
        <v>4522.5</v>
      </c>
      <c r="CV125" s="9">
        <f t="shared" ref="CV125:CX125" si="99">+CU125</f>
        <v>4522.5</v>
      </c>
      <c r="CW125" s="9">
        <f t="shared" si="99"/>
        <v>4522.5</v>
      </c>
      <c r="CX125" s="69">
        <f t="shared" si="99"/>
        <v>4522.5</v>
      </c>
    </row>
    <row r="126" spans="1:102" s="10" customFormat="1" ht="18" hidden="1" customHeight="1">
      <c r="A126" s="53" t="s">
        <v>447</v>
      </c>
      <c r="B126" s="2" t="s">
        <v>448</v>
      </c>
      <c r="C126" s="57"/>
      <c r="D126" s="57"/>
      <c r="E126" s="51" t="s">
        <v>1175</v>
      </c>
      <c r="F126" s="51"/>
      <c r="G126" s="51">
        <v>3</v>
      </c>
      <c r="H126" s="51"/>
      <c r="I126" s="51"/>
      <c r="J126" s="51">
        <v>7</v>
      </c>
      <c r="K126" s="37" t="s">
        <v>1243</v>
      </c>
      <c r="L126" s="50"/>
      <c r="M126" s="4" t="s">
        <v>5</v>
      </c>
      <c r="N126" s="25">
        <v>485</v>
      </c>
      <c r="O126" s="25"/>
      <c r="P126" s="25"/>
      <c r="Q126" s="25"/>
      <c r="R126" s="25"/>
      <c r="S126" s="25"/>
      <c r="T126" s="25">
        <v>120.06100000000001</v>
      </c>
      <c r="U126" s="25">
        <v>605.06100000000004</v>
      </c>
      <c r="V126" s="30">
        <v>32.016266666666667</v>
      </c>
      <c r="W126" s="30">
        <v>129.33333333333334</v>
      </c>
      <c r="X126" s="31"/>
      <c r="Y126" s="31"/>
      <c r="Z126" s="31"/>
      <c r="AA126" s="31"/>
      <c r="AB126" s="31"/>
      <c r="AC126" s="31"/>
      <c r="AD126" s="31"/>
      <c r="AE126" s="32"/>
      <c r="AF126" s="16"/>
      <c r="AG126" s="3"/>
      <c r="AH126" s="4"/>
      <c r="AI126" s="6">
        <v>3750</v>
      </c>
      <c r="AJ126" s="38">
        <v>100</v>
      </c>
      <c r="AK126" s="3"/>
      <c r="AL126" s="1" t="s">
        <v>421</v>
      </c>
      <c r="AM126" s="37">
        <v>406.73</v>
      </c>
      <c r="AN126" s="37">
        <v>489.07</v>
      </c>
      <c r="AO126" s="37">
        <v>470.9</v>
      </c>
      <c r="AP126" s="37">
        <v>412.92</v>
      </c>
      <c r="AQ126" s="37"/>
      <c r="AR126" s="37"/>
      <c r="AS126" s="37"/>
      <c r="AT126" s="37"/>
      <c r="AU126" s="37"/>
      <c r="AV126" s="37"/>
      <c r="AW126" s="37"/>
      <c r="AX126" s="37"/>
      <c r="AY126" s="37"/>
      <c r="AZ126" s="37"/>
      <c r="BA126" s="37"/>
      <c r="BB126" s="37"/>
      <c r="BC126" s="37">
        <v>28.56</v>
      </c>
      <c r="BD126" s="37">
        <v>29.81</v>
      </c>
      <c r="BE126" s="37">
        <v>28.61</v>
      </c>
      <c r="BF126" s="37">
        <v>28.11</v>
      </c>
      <c r="BG126" s="42">
        <v>444.90499999999997</v>
      </c>
      <c r="BH126" s="42"/>
      <c r="BI126" s="42"/>
      <c r="BJ126" s="42"/>
      <c r="BK126" s="44">
        <v>444.90499999999997</v>
      </c>
      <c r="BL126" s="44">
        <v>28.772499999999997</v>
      </c>
      <c r="BM126" s="44">
        <f>+BK126+BL126</f>
        <v>473.67749999999995</v>
      </c>
      <c r="BN126" s="47">
        <v>89.230846369835533</v>
      </c>
      <c r="BO126" s="47">
        <v>5.7706578419574805</v>
      </c>
      <c r="BP126" s="45">
        <v>95.001504211793005</v>
      </c>
      <c r="BQ126" s="9">
        <v>4986</v>
      </c>
      <c r="BR126" s="4">
        <v>648</v>
      </c>
      <c r="BS126" s="4">
        <v>1976</v>
      </c>
      <c r="BT126" s="4" t="s">
        <v>872</v>
      </c>
      <c r="BU126" s="4"/>
      <c r="BV126" s="4" t="s">
        <v>1011</v>
      </c>
      <c r="BW126" s="4" t="s">
        <v>1012</v>
      </c>
      <c r="BX126" s="4"/>
      <c r="BY126" s="9">
        <f>+INT(BK126*faktorji!$B$3)</f>
        <v>28918</v>
      </c>
      <c r="BZ126" s="9">
        <f>+INT(BL126*faktorji!$B$4)</f>
        <v>4747</v>
      </c>
      <c r="CA126" s="4"/>
      <c r="CB126" s="4">
        <v>1</v>
      </c>
      <c r="CC126" s="4">
        <v>0</v>
      </c>
      <c r="CD126" s="4">
        <v>0</v>
      </c>
      <c r="CE126" s="4">
        <v>0</v>
      </c>
      <c r="CF126" s="4">
        <v>0</v>
      </c>
      <c r="CG126" s="4">
        <v>1</v>
      </c>
      <c r="CH126" s="4">
        <v>1</v>
      </c>
      <c r="CI126" s="9">
        <f>+BQ126*(CB126*faktorji!$B$21+'MOL_tabela rezultatov'!CF175*faktorji!$B$23+'MOL_tabela rezultatov'!CH175*faktorji!$B$26)+faktorji!$B$27*CG126</f>
        <v>92790</v>
      </c>
      <c r="CJ126" s="9">
        <f>+(BZ126*CF126*faktorji!$B$18)+(CG126*faktorji!$B$17*('MOL_tabela rezultatov'!BY175+'MOL_tabela rezultatov'!BZ175))+('MOL_tabela rezultatov'!CH175*faktorji!$B$16*'MOL_tabela rezultatov'!BY175)+('MOL_tabela rezultatov'!CB175*faktorji!$B$12*'MOL_tabela rezultatov'!BY175)</f>
        <v>4393</v>
      </c>
      <c r="CK126" s="66">
        <f>+CI126/CJ126</f>
        <v>21.122239927156841</v>
      </c>
      <c r="CL126" s="3" t="str">
        <f>CONCATENATE(IF(CB126&gt;0,"kotlovnica/toplotna postaja, ",""),IF(CF126&gt;0,"razsvetljava, ",""),IF(CG126&gt;0,"energetsko upravljanje, ",""),IF(CH126&gt;0,"manjši investicijski in organizacijski ukrepi, ",""))</f>
        <v xml:space="preserve">kotlovnica/toplotna postaja, energetsko upravljanje, manjši investicijski in organizacijski ukrepi, </v>
      </c>
      <c r="CM126" s="9">
        <f>+CJ126*0.9</f>
        <v>3953.7000000000003</v>
      </c>
      <c r="CN126" s="9">
        <f>+CJ126*0.9</f>
        <v>3953.7000000000003</v>
      </c>
      <c r="CO126" s="9">
        <f>+CJ126*0.9</f>
        <v>3953.7000000000003</v>
      </c>
      <c r="CP126" s="69">
        <f>+IF(CI126-SUM(CM126:CO126)&lt;0,0,CI126-SUM(CM126:CO126))</f>
        <v>80928.899999999994</v>
      </c>
      <c r="CQ126" s="9">
        <f>+(BQ126*CE126*faktorji!$B$24)+(BQ126^0.5*CC126*4*4*0.66*faktorji!$B$22)+(BQ126^0.5*CD126*4*4*0.33*faktorji!$B$25)</f>
        <v>0</v>
      </c>
      <c r="CR126" s="3" t="str">
        <f t="shared" si="97"/>
        <v/>
      </c>
      <c r="CS126" s="9">
        <f>+BQ126*('MOL_tabela rezultatov'!CH126*faktorji!$B$26)+faktorji!$B$27*CG126</f>
        <v>25479</v>
      </c>
      <c r="CT126" s="3" t="str">
        <f t="shared" si="95"/>
        <v xml:space="preserve">energetsko upravljanje, manjši investicijski in organizacijski ukrepi, </v>
      </c>
      <c r="CU126" s="9">
        <f t="shared" si="62"/>
        <v>6369.75</v>
      </c>
      <c r="CV126" s="9">
        <f t="shared" ref="CV126:CX126" si="100">+CU126</f>
        <v>6369.75</v>
      </c>
      <c r="CW126" s="9">
        <f t="shared" si="100"/>
        <v>6369.75</v>
      </c>
      <c r="CX126" s="69">
        <f t="shared" si="100"/>
        <v>6369.75</v>
      </c>
    </row>
    <row r="127" spans="1:102" s="10" customFormat="1" ht="18" customHeight="1">
      <c r="A127" s="117" t="s">
        <v>439</v>
      </c>
      <c r="B127" s="146" t="s">
        <v>440</v>
      </c>
      <c r="C127" s="57"/>
      <c r="D127" s="57"/>
      <c r="E127" s="51" t="s">
        <v>1175</v>
      </c>
      <c r="F127" s="51"/>
      <c r="G127" s="51">
        <v>2</v>
      </c>
      <c r="H127" s="51" t="s">
        <v>1249</v>
      </c>
      <c r="I127" s="51"/>
      <c r="J127" s="51">
        <v>2</v>
      </c>
      <c r="K127" s="37" t="s">
        <v>1243</v>
      </c>
      <c r="L127" s="50"/>
      <c r="M127" s="4" t="s">
        <v>5</v>
      </c>
      <c r="N127" s="25">
        <v>444</v>
      </c>
      <c r="O127" s="25"/>
      <c r="P127" s="25"/>
      <c r="Q127" s="25"/>
      <c r="R127" s="25"/>
      <c r="S127" s="25"/>
      <c r="T127" s="25">
        <v>140.363</v>
      </c>
      <c r="U127" s="25">
        <v>584.36300000000006</v>
      </c>
      <c r="V127" s="30">
        <v>37.43013333333333</v>
      </c>
      <c r="W127" s="30">
        <v>118.4</v>
      </c>
      <c r="X127" s="31"/>
      <c r="Y127" s="31"/>
      <c r="Z127" s="31"/>
      <c r="AA127" s="31"/>
      <c r="AB127" s="31"/>
      <c r="AC127" s="31"/>
      <c r="AD127" s="31"/>
      <c r="AE127" s="32"/>
      <c r="AF127" s="16"/>
      <c r="AG127" s="3"/>
      <c r="AH127" s="4"/>
      <c r="AI127" s="6">
        <v>3750</v>
      </c>
      <c r="AJ127" s="38">
        <v>100</v>
      </c>
      <c r="AK127" s="3"/>
      <c r="AL127" s="1" t="s">
        <v>428</v>
      </c>
      <c r="AM127" s="37">
        <v>589.65</v>
      </c>
      <c r="AN127" s="37">
        <v>652.23</v>
      </c>
      <c r="AO127" s="37">
        <v>592.01</v>
      </c>
      <c r="AP127" s="37">
        <v>689.86</v>
      </c>
      <c r="AQ127" s="37"/>
      <c r="AR127" s="37"/>
      <c r="AS127" s="37"/>
      <c r="AT127" s="37"/>
      <c r="AU127" s="37"/>
      <c r="AV127" s="37"/>
      <c r="AW127" s="37"/>
      <c r="AX127" s="37"/>
      <c r="AY127" s="37"/>
      <c r="AZ127" s="37"/>
      <c r="BA127" s="37"/>
      <c r="BB127" s="37"/>
      <c r="BC127" s="37">
        <v>68.010000000000005</v>
      </c>
      <c r="BD127" s="37">
        <v>66.67</v>
      </c>
      <c r="BE127" s="37">
        <v>64.53</v>
      </c>
      <c r="BF127" s="37">
        <v>66.55</v>
      </c>
      <c r="BG127" s="42">
        <v>630.9375</v>
      </c>
      <c r="BH127" s="42">
        <v>24.8</v>
      </c>
      <c r="BI127" s="42"/>
      <c r="BJ127" s="42"/>
      <c r="BK127" s="44">
        <v>655.73749999999995</v>
      </c>
      <c r="BL127" s="44">
        <v>66.44</v>
      </c>
      <c r="BM127" s="44">
        <f>+BK127+BL127</f>
        <v>722.17750000000001</v>
      </c>
      <c r="BN127" s="47">
        <v>201.33174700644764</v>
      </c>
      <c r="BO127" s="47">
        <v>20.399140313171632</v>
      </c>
      <c r="BP127" s="45">
        <v>214.11651826834509</v>
      </c>
      <c r="BQ127" s="9">
        <v>3257</v>
      </c>
      <c r="BR127" s="4"/>
      <c r="BS127" s="4">
        <v>1970</v>
      </c>
      <c r="BT127" s="4" t="s">
        <v>872</v>
      </c>
      <c r="BU127" s="4" t="s">
        <v>1004</v>
      </c>
      <c r="BV127" s="4" t="s">
        <v>1005</v>
      </c>
      <c r="BW127" s="4"/>
      <c r="BX127" s="4" t="s">
        <v>1006</v>
      </c>
      <c r="BY127" s="9">
        <f>+INT(BK127*faktorji!$B$3)</f>
        <v>42622</v>
      </c>
      <c r="BZ127" s="9">
        <f>+INT(BL127*faktorji!$B$4)</f>
        <v>10962</v>
      </c>
      <c r="CA127" s="3" t="s">
        <v>1300</v>
      </c>
      <c r="CB127" s="4">
        <v>1</v>
      </c>
      <c r="CC127" s="4">
        <v>1</v>
      </c>
      <c r="CD127" s="4">
        <v>0.5</v>
      </c>
      <c r="CE127" s="4">
        <v>0</v>
      </c>
      <c r="CF127" s="4">
        <v>1</v>
      </c>
      <c r="CG127" s="4">
        <v>1</v>
      </c>
      <c r="CH127" s="4">
        <v>0</v>
      </c>
      <c r="CI127" s="9">
        <f>+BQ127*(CB127*faktorji!$B$21+'MOL_tabela rezultatov'!CF172*faktorji!$B$23+'MOL_tabela rezultatov'!CH172*faktorji!$B$26)+faktorji!$B$27*CG127</f>
        <v>120595.5</v>
      </c>
      <c r="CJ127" s="9">
        <f>+(BZ127*CF127*faktorji!$B$18)+(CG127*faktorji!$B$17*('MOL_tabela rezultatov'!BY172+'MOL_tabela rezultatov'!BZ172))+('MOL_tabela rezultatov'!CH172*faktorji!$B$16*'MOL_tabela rezultatov'!BY172)+('MOL_tabela rezultatov'!CB172*faktorji!$B$12*'MOL_tabela rezultatov'!BY172)</f>
        <v>7727.2</v>
      </c>
      <c r="CK127" s="66">
        <f>+CI127/CJ127</f>
        <v>15.60662335645512</v>
      </c>
      <c r="CL127" s="3" t="str">
        <f>CONCATENATE(IF(CB127&gt;0,"kotlovnica/toplotna postaja, ",""),IF(CF127&gt;0,"razsvetljava, ",""),IF(CG127&gt;0,"energetsko upravljanje, ",""),IF(CH127&gt;0,"manjši investicijski in organizacijski ukrepi, ",""))</f>
        <v xml:space="preserve">kotlovnica/toplotna postaja, razsvetljava, energetsko upravljanje, </v>
      </c>
      <c r="CM127" s="9">
        <f>+CJ127*0.9</f>
        <v>6954.48</v>
      </c>
      <c r="CN127" s="9">
        <f>+CJ127*0.9</f>
        <v>6954.48</v>
      </c>
      <c r="CO127" s="9">
        <f>+CJ127*0.9</f>
        <v>6954.48</v>
      </c>
      <c r="CP127" s="69">
        <f>+IF(CI127-SUM(CM127:CO127)&lt;0,0,CI127-SUM(CM127:CO127))</f>
        <v>99732.06</v>
      </c>
      <c r="CQ127" s="9">
        <f>+(BQ127*CE127*faktorji!$B$24)+(BQ127^0.5*CC127*4*4*0.66*faktorji!$B$22)+(BQ127^0.5*CD127*4*4*0.33*faktorji!$B$25)</f>
        <v>79852.529105094727</v>
      </c>
      <c r="CR127" s="3" t="str">
        <f t="shared" si="97"/>
        <v xml:space="preserve">izolacija ovoja, stavbno pohištvo, </v>
      </c>
      <c r="CS127" s="9">
        <f>+BQ127*('MOL_tabela rezultatov'!CH127*faktorji!$B$26)+faktorji!$B$27*CG127</f>
        <v>18000</v>
      </c>
      <c r="CT127" s="3" t="str">
        <f t="shared" si="95"/>
        <v xml:space="preserve">energetsko upravljanje, </v>
      </c>
      <c r="CU127" s="9">
        <f t="shared" si="62"/>
        <v>4500</v>
      </c>
      <c r="CV127" s="9">
        <f t="shared" ref="CV127:CX127" si="101">+CU127</f>
        <v>4500</v>
      </c>
      <c r="CW127" s="9">
        <f t="shared" si="101"/>
        <v>4500</v>
      </c>
      <c r="CX127" s="69">
        <f t="shared" si="101"/>
        <v>4500</v>
      </c>
    </row>
    <row r="128" spans="1:102" s="10" customFormat="1" ht="18" hidden="1" customHeight="1">
      <c r="A128" s="53" t="s">
        <v>792</v>
      </c>
      <c r="B128" s="2" t="s">
        <v>793</v>
      </c>
      <c r="C128" s="57"/>
      <c r="D128" s="57"/>
      <c r="E128" s="51" t="s">
        <v>1176</v>
      </c>
      <c r="F128" s="51"/>
      <c r="G128" s="51">
        <v>3</v>
      </c>
      <c r="H128" s="51"/>
      <c r="I128" s="51"/>
      <c r="J128" s="51">
        <v>7</v>
      </c>
      <c r="K128" s="37" t="s">
        <v>1242</v>
      </c>
      <c r="L128" s="50"/>
      <c r="M128" s="4" t="s">
        <v>5</v>
      </c>
      <c r="N128" s="28">
        <v>21</v>
      </c>
      <c r="O128" s="25"/>
      <c r="P128" s="25"/>
      <c r="Q128" s="25"/>
      <c r="R128" s="25"/>
      <c r="S128" s="25"/>
      <c r="T128" s="25">
        <v>0.92200000000000004</v>
      </c>
      <c r="U128" s="25">
        <v>21.922000000000001</v>
      </c>
      <c r="V128" s="30">
        <v>12.63013698630137</v>
      </c>
      <c r="W128" s="30">
        <v>287.67123287671234</v>
      </c>
      <c r="X128" s="31"/>
      <c r="Y128" s="31"/>
      <c r="Z128" s="31"/>
      <c r="AA128" s="31"/>
      <c r="AB128" s="31"/>
      <c r="AC128" s="31"/>
      <c r="AD128" s="31"/>
      <c r="AE128" s="32"/>
      <c r="AF128" s="16"/>
      <c r="AG128" s="3"/>
      <c r="AH128" s="4"/>
      <c r="AI128" s="6">
        <v>73</v>
      </c>
      <c r="AJ128" s="38">
        <v>100</v>
      </c>
      <c r="AK128" s="3"/>
      <c r="AL128" s="1" t="s">
        <v>490</v>
      </c>
      <c r="AM128" s="39"/>
      <c r="AN128" s="39"/>
      <c r="AO128" s="39"/>
      <c r="AP128" s="39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  <c r="BA128" s="37"/>
      <c r="BB128" s="37"/>
      <c r="BC128" s="37"/>
      <c r="BD128" s="37"/>
      <c r="BE128" s="37"/>
      <c r="BF128" s="37"/>
      <c r="BG128" s="42">
        <v>21</v>
      </c>
      <c r="BH128" s="42"/>
      <c r="BI128" s="42"/>
      <c r="BJ128" s="42"/>
      <c r="BK128" s="44">
        <v>21</v>
      </c>
      <c r="BL128" s="44">
        <v>0.92</v>
      </c>
      <c r="BM128" s="44">
        <f>+BK128+BL128</f>
        <v>21.92</v>
      </c>
      <c r="BN128" s="47">
        <v>287.67123287671234</v>
      </c>
      <c r="BO128" s="47">
        <v>12.602739726027398</v>
      </c>
      <c r="BP128" s="45">
        <v>300.27397260273972</v>
      </c>
      <c r="BQ128" s="9">
        <v>73</v>
      </c>
      <c r="BR128" s="4"/>
      <c r="BS128" s="4"/>
      <c r="BT128" s="4" t="s">
        <v>872</v>
      </c>
      <c r="BU128" s="4" t="s">
        <v>948</v>
      </c>
      <c r="BV128" s="4"/>
      <c r="BW128" s="4"/>
      <c r="BX128" s="4"/>
      <c r="BY128" s="9">
        <f>+INT(BK128*faktorji!$B$3)</f>
        <v>1365</v>
      </c>
      <c r="BZ128" s="9">
        <f>+INT(BL128*faktorji!$B$4)</f>
        <v>151</v>
      </c>
      <c r="CA128" s="4"/>
      <c r="CB128" s="4">
        <v>0</v>
      </c>
      <c r="CC128" s="4">
        <v>0</v>
      </c>
      <c r="CD128" s="4">
        <v>0</v>
      </c>
      <c r="CE128" s="4">
        <v>0</v>
      </c>
      <c r="CF128" s="4">
        <v>0</v>
      </c>
      <c r="CG128" s="4">
        <v>1</v>
      </c>
      <c r="CH128" s="4">
        <v>1</v>
      </c>
      <c r="CI128" s="9">
        <f>+BQ128*(CB128*faktorji!$B$21+'MOL_tabela rezultatov'!CF287*faktorji!$B$23+'MOL_tabela rezultatov'!CH287*faktorji!$B$26)+faktorji!$B$27*CG128</f>
        <v>19204.5</v>
      </c>
      <c r="CJ128" s="9">
        <f>+(BZ128*CF128*faktorji!$B$18)+(CG128*faktorji!$B$17*('MOL_tabela rezultatov'!BY287+'MOL_tabela rezultatov'!BZ287))+('MOL_tabela rezultatov'!CH287*faktorji!$B$16*'MOL_tabela rezultatov'!BY287)+('MOL_tabela rezultatov'!CB287*faktorji!$B$12*'MOL_tabela rezultatov'!BY287)</f>
        <v>11698.6</v>
      </c>
      <c r="CK128" s="66">
        <f>+CI128/CJ128</f>
        <v>1.6416066879797582</v>
      </c>
      <c r="CL128" s="3" t="str">
        <f>CONCATENATE(IF(CB128&gt;0,"kotlovnica/toplotna postaja, ",""),IF(CF128&gt;0,"razsvetljava, ",""),IF(CG128&gt;0,"energetsko upravljanje, ",""),IF(CH128&gt;0,"manjši investicijski in organizacijski ukrepi, ",""))</f>
        <v xml:space="preserve">energetsko upravljanje, manjši investicijski in organizacijski ukrepi, </v>
      </c>
      <c r="CM128" s="9">
        <f>+CJ128*0.9</f>
        <v>10528.74</v>
      </c>
      <c r="CN128" s="9">
        <f>+CJ128*0.9</f>
        <v>10528.74</v>
      </c>
      <c r="CO128" s="9">
        <f>+CJ128*0.9</f>
        <v>10528.74</v>
      </c>
      <c r="CP128" s="69">
        <f>+IF(CI128-SUM(CM128:CO128)&lt;0,0,CI128-SUM(CM128:CO128))</f>
        <v>0</v>
      </c>
      <c r="CQ128" s="9">
        <f>+(BQ128*CE128*faktorji!$B$24)+(BQ128^0.5*CC128*4*4*0.66*faktorji!$B$22)+(BQ128^0.5*CD128*4*4*0.33*faktorji!$B$25)</f>
        <v>0</v>
      </c>
      <c r="CR128" s="3" t="str">
        <f t="shared" si="97"/>
        <v/>
      </c>
      <c r="CS128" s="9">
        <f>+BQ128*('MOL_tabela rezultatov'!CH128*faktorji!$B$26)+faktorji!$B$27*CG128</f>
        <v>18109.5</v>
      </c>
      <c r="CT128" s="3" t="str">
        <f t="shared" si="95"/>
        <v xml:space="preserve">energetsko upravljanje, manjši investicijski in organizacijski ukrepi, </v>
      </c>
      <c r="CU128" s="9">
        <f t="shared" si="62"/>
        <v>4527.375</v>
      </c>
      <c r="CV128" s="9">
        <f t="shared" ref="CV128:CX128" si="102">+CU128</f>
        <v>4527.375</v>
      </c>
      <c r="CW128" s="9">
        <f t="shared" si="102"/>
        <v>4527.375</v>
      </c>
      <c r="CX128" s="69">
        <f t="shared" si="102"/>
        <v>4527.375</v>
      </c>
    </row>
    <row r="129" spans="1:102" s="10" customFormat="1" ht="18" hidden="1" customHeight="1">
      <c r="A129" s="53" t="s">
        <v>444</v>
      </c>
      <c r="B129" s="2" t="s">
        <v>445</v>
      </c>
      <c r="C129" s="57"/>
      <c r="D129" s="57"/>
      <c r="E129" s="51" t="s">
        <v>1175</v>
      </c>
      <c r="F129" s="51"/>
      <c r="G129" s="51">
        <v>2</v>
      </c>
      <c r="H129" s="51" t="s">
        <v>1249</v>
      </c>
      <c r="I129" s="51"/>
      <c r="J129" s="51">
        <v>2</v>
      </c>
      <c r="K129" s="37" t="s">
        <v>1242</v>
      </c>
      <c r="L129" s="50"/>
      <c r="M129" s="4" t="s">
        <v>6</v>
      </c>
      <c r="N129" s="25">
        <v>1226</v>
      </c>
      <c r="O129" s="25"/>
      <c r="P129" s="25"/>
      <c r="Q129" s="25"/>
      <c r="R129" s="25"/>
      <c r="S129" s="25"/>
      <c r="T129" s="25">
        <v>87.382000000000005</v>
      </c>
      <c r="U129" s="25">
        <v>1313.3820000000001</v>
      </c>
      <c r="V129" s="30">
        <v>21.845500000000001</v>
      </c>
      <c r="W129" s="30">
        <v>306.5</v>
      </c>
      <c r="X129" s="31"/>
      <c r="Y129" s="31"/>
      <c r="Z129" s="31"/>
      <c r="AA129" s="31"/>
      <c r="AB129" s="31"/>
      <c r="AC129" s="31"/>
      <c r="AD129" s="31"/>
      <c r="AE129" s="32"/>
      <c r="AF129" s="16"/>
      <c r="AG129" s="3"/>
      <c r="AH129" s="4"/>
      <c r="AI129" s="6">
        <v>4000</v>
      </c>
      <c r="AJ129" s="38">
        <v>100</v>
      </c>
      <c r="AK129" s="3"/>
      <c r="AL129" s="1" t="s">
        <v>446</v>
      </c>
      <c r="AM129" s="37">
        <v>574.9</v>
      </c>
      <c r="AN129" s="37">
        <v>598.63</v>
      </c>
      <c r="AO129" s="37">
        <v>540.70000000000005</v>
      </c>
      <c r="AP129" s="37">
        <v>526.91</v>
      </c>
      <c r="AQ129" s="37"/>
      <c r="AR129" s="37"/>
      <c r="AS129" s="37"/>
      <c r="AT129" s="37"/>
      <c r="AU129" s="37"/>
      <c r="AV129" s="37"/>
      <c r="AW129" s="37"/>
      <c r="AX129" s="37"/>
      <c r="AY129" s="37"/>
      <c r="AZ129" s="37"/>
      <c r="BA129" s="37"/>
      <c r="BB129" s="37"/>
      <c r="BC129" s="37">
        <v>121</v>
      </c>
      <c r="BD129" s="37">
        <v>117.3</v>
      </c>
      <c r="BE129" s="37">
        <v>115</v>
      </c>
      <c r="BF129" s="37">
        <v>113.8</v>
      </c>
      <c r="BG129" s="42">
        <v>614.68499999999995</v>
      </c>
      <c r="BH129" s="42"/>
      <c r="BI129" s="42"/>
      <c r="BJ129" s="42"/>
      <c r="BK129" s="44">
        <v>614.68499999999995</v>
      </c>
      <c r="BL129" s="44">
        <v>116.77500000000001</v>
      </c>
      <c r="BM129" s="44">
        <f>+BK129+BL129</f>
        <v>731.45999999999992</v>
      </c>
      <c r="BN129" s="47">
        <v>153.67124999999999</v>
      </c>
      <c r="BO129" s="47">
        <v>29.193750000000001</v>
      </c>
      <c r="BP129" s="45">
        <v>182.86499999999998</v>
      </c>
      <c r="BQ129" s="9">
        <v>4000</v>
      </c>
      <c r="BR129" s="4">
        <v>200</v>
      </c>
      <c r="BS129" s="4">
        <v>1999</v>
      </c>
      <c r="BT129" s="4" t="s">
        <v>872</v>
      </c>
      <c r="BU129" s="4"/>
      <c r="BV129" s="4" t="s">
        <v>1010</v>
      </c>
      <c r="BW129" s="4" t="s">
        <v>874</v>
      </c>
      <c r="BX129" s="4"/>
      <c r="BY129" s="9">
        <f>+INT(BK129*faktorji!$B$5)</f>
        <v>58395</v>
      </c>
      <c r="BZ129" s="9">
        <f>+INT(BL129*faktorji!$B$4)</f>
        <v>19267</v>
      </c>
      <c r="CA129" s="3" t="s">
        <v>1303</v>
      </c>
      <c r="CB129" s="4">
        <v>1</v>
      </c>
      <c r="CC129" s="4">
        <v>1</v>
      </c>
      <c r="CD129" s="4">
        <v>0.5</v>
      </c>
      <c r="CE129" s="4">
        <v>0</v>
      </c>
      <c r="CF129" s="4">
        <v>0</v>
      </c>
      <c r="CG129" s="4">
        <v>1</v>
      </c>
      <c r="CH129" s="4">
        <v>0</v>
      </c>
      <c r="CI129" s="9">
        <f>+BQ129*(CB129*faktorji!$B$21+'MOL_tabela rezultatov'!CF174*faktorji!$B$23+'MOL_tabela rezultatov'!CH174*faktorji!$B$26)+faktorji!$B$27*CG129</f>
        <v>144000</v>
      </c>
      <c r="CJ129" s="9">
        <f>+(BZ129*CF129*faktorji!$B$18)+(CG129*faktorji!$B$17*('MOL_tabela rezultatov'!BY174+'MOL_tabela rezultatov'!BZ174))+('MOL_tabela rezultatov'!CH174*faktorji!$B$16*'MOL_tabela rezultatov'!BY174)+('MOL_tabela rezultatov'!CB174*faktorji!$B$12*'MOL_tabela rezultatov'!BY174)</f>
        <v>9785.2999999999993</v>
      </c>
      <c r="CK129" s="66">
        <f>+CI129/CJ129</f>
        <v>14.715951478237766</v>
      </c>
      <c r="CL129" s="3" t="str">
        <f>CONCATENATE(IF(CB129&gt;0,"kotlovnica/toplotna postaja, ",""),IF(CF129&gt;0,"razsvetljava, ",""),IF(CG129&gt;0,"energetsko upravljanje, ",""),IF(CH129&gt;0,"manjši investicijski in organizacijski ukrepi, ",""))</f>
        <v xml:space="preserve">kotlovnica/toplotna postaja, energetsko upravljanje, </v>
      </c>
      <c r="CM129" s="9">
        <f>+CJ129*0.9</f>
        <v>8806.77</v>
      </c>
      <c r="CN129" s="9">
        <f>+CJ129*0.9</f>
        <v>8806.77</v>
      </c>
      <c r="CO129" s="9">
        <f>+CJ129*0.9</f>
        <v>8806.77</v>
      </c>
      <c r="CP129" s="69">
        <f>+IF(CI129-SUM(CM129:CO129)&lt;0,0,CI129-SUM(CM129:CO129))</f>
        <v>117579.69</v>
      </c>
      <c r="CQ129" s="9">
        <f>+(BQ129*CE129*faktorji!$B$24)+(BQ129^0.5*CC129*4*4*0.66*faktorji!$B$22)+(BQ129^0.5*CD129*4*4*0.33*faktorji!$B$25)</f>
        <v>88493.178042151922</v>
      </c>
      <c r="CR129" s="3" t="str">
        <f t="shared" si="97"/>
        <v xml:space="preserve">izolacija ovoja, stavbno pohištvo, </v>
      </c>
      <c r="CS129" s="9">
        <f>+BQ129*('MOL_tabela rezultatov'!CH129*faktorji!$B$26)+faktorji!$B$27*CG129</f>
        <v>18000</v>
      </c>
      <c r="CT129" s="3" t="str">
        <f t="shared" si="95"/>
        <v xml:space="preserve">energetsko upravljanje, </v>
      </c>
      <c r="CU129" s="9">
        <f t="shared" si="62"/>
        <v>4500</v>
      </c>
      <c r="CV129" s="9">
        <f t="shared" ref="CV129:CX129" si="103">+CU129</f>
        <v>4500</v>
      </c>
      <c r="CW129" s="9">
        <f t="shared" si="103"/>
        <v>4500</v>
      </c>
      <c r="CX129" s="69">
        <f t="shared" si="103"/>
        <v>4500</v>
      </c>
    </row>
    <row r="130" spans="1:102" s="10" customFormat="1" ht="18" hidden="1" customHeight="1">
      <c r="A130" s="54" t="s">
        <v>539</v>
      </c>
      <c r="B130" s="3" t="s">
        <v>540</v>
      </c>
      <c r="C130" s="56"/>
      <c r="D130" s="56"/>
      <c r="E130" s="51" t="s">
        <v>1175</v>
      </c>
      <c r="F130" s="51"/>
      <c r="G130" s="51">
        <v>3</v>
      </c>
      <c r="H130" s="51"/>
      <c r="I130" s="51"/>
      <c r="J130" s="51">
        <v>7</v>
      </c>
      <c r="K130" s="37" t="s">
        <v>1241</v>
      </c>
      <c r="L130" s="50"/>
      <c r="M130" s="4" t="s">
        <v>1229</v>
      </c>
      <c r="N130" s="25"/>
      <c r="O130" s="25"/>
      <c r="P130" s="25"/>
      <c r="Q130" s="25"/>
      <c r="R130" s="25"/>
      <c r="S130" s="25">
        <v>608.6253639274039</v>
      </c>
      <c r="T130" s="25">
        <v>106.46131275066753</v>
      </c>
      <c r="U130" s="25">
        <v>106.46131275066753</v>
      </c>
      <c r="V130" s="30">
        <v>24.718205885922341</v>
      </c>
      <c r="W130" s="30">
        <v>141.31074156661342</v>
      </c>
      <c r="X130" s="31"/>
      <c r="Y130" s="31"/>
      <c r="Z130" s="31"/>
      <c r="AA130" s="31"/>
      <c r="AB130" s="31"/>
      <c r="AC130" s="31"/>
      <c r="AD130" s="31"/>
      <c r="AE130" s="32"/>
      <c r="AF130" s="16"/>
      <c r="AG130" s="3"/>
      <c r="AH130" s="4"/>
      <c r="AI130" s="6">
        <v>4307</v>
      </c>
      <c r="AJ130" s="38">
        <v>100</v>
      </c>
      <c r="AK130" s="3"/>
      <c r="AL130" s="1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37"/>
      <c r="AY130" s="37"/>
      <c r="AZ130" s="37"/>
      <c r="BA130" s="37"/>
      <c r="BB130" s="37"/>
      <c r="BC130" s="37"/>
      <c r="BD130" s="37"/>
      <c r="BE130" s="37"/>
      <c r="BF130" s="37"/>
      <c r="BG130" s="42"/>
      <c r="BH130" s="42"/>
      <c r="BI130" s="42"/>
      <c r="BJ130" s="42"/>
      <c r="BK130" s="44"/>
      <c r="BL130" s="44"/>
      <c r="BM130" s="44">
        <f>+BK130+BL130</f>
        <v>0</v>
      </c>
      <c r="BN130" s="48"/>
      <c r="BO130" s="48"/>
      <c r="BP130" s="46"/>
      <c r="BQ130" s="7">
        <v>0</v>
      </c>
      <c r="BR130" s="4"/>
      <c r="BS130" s="4"/>
      <c r="BT130" s="4"/>
      <c r="BU130" s="4"/>
      <c r="BV130" s="4"/>
      <c r="BW130" s="4"/>
      <c r="BX130" s="4"/>
      <c r="BY130" s="9">
        <v>0</v>
      </c>
      <c r="BZ130" s="9">
        <f>+INT(BL130*faktorji!$B$4)</f>
        <v>0</v>
      </c>
      <c r="CA130" s="4"/>
      <c r="CB130" s="4">
        <v>0</v>
      </c>
      <c r="CC130" s="4">
        <v>0</v>
      </c>
      <c r="CD130" s="4">
        <v>0</v>
      </c>
      <c r="CE130" s="4">
        <v>0</v>
      </c>
      <c r="CF130" s="4">
        <v>0</v>
      </c>
      <c r="CG130" s="4">
        <v>1</v>
      </c>
      <c r="CH130" s="4">
        <v>1</v>
      </c>
      <c r="CI130" s="9">
        <f>+BQ130*(CB130*faktorji!$B$21+'MOL_tabela rezultatov'!CF204*faktorji!$B$23+'MOL_tabela rezultatov'!CH204*faktorji!$B$26)+faktorji!$B$27*CG130</f>
        <v>18000</v>
      </c>
      <c r="CJ130" s="9">
        <f>+(BZ130*CF130*faktorji!$B$18)+(CG130*faktorji!$B$17*('MOL_tabela rezultatov'!BY204+'MOL_tabela rezultatov'!BZ204))+('MOL_tabela rezultatov'!CH204*faktorji!$B$16*'MOL_tabela rezultatov'!BY204)+('MOL_tabela rezultatov'!CB204*faktorji!$B$12*'MOL_tabela rezultatov'!BY204)</f>
        <v>4355.5</v>
      </c>
      <c r="CK130" s="66">
        <f>+CI130/CJ130</f>
        <v>4.132705774308346</v>
      </c>
      <c r="CL130" s="3" t="str">
        <f>CONCATENATE(IF(CB130&gt;0,"kotlovnica/toplotna postaja, ",""),IF(CF130&gt;0,"razsvetljava, ",""),IF(CG130&gt;0,"energetsko upravljanje, ",""),IF(CH130&gt;0,"manjši investicijski in organizacijski ukrepi, ",""))</f>
        <v xml:space="preserve">energetsko upravljanje, manjši investicijski in organizacijski ukrepi, </v>
      </c>
      <c r="CM130" s="9">
        <f>+CJ130*0.9</f>
        <v>3919.9500000000003</v>
      </c>
      <c r="CN130" s="9">
        <f>+CJ130*0.9</f>
        <v>3919.9500000000003</v>
      </c>
      <c r="CO130" s="9">
        <f>+CJ130*0.9</f>
        <v>3919.9500000000003</v>
      </c>
      <c r="CP130" s="69">
        <f>+IF(CI130-SUM(CM130:CO130)&lt;0,0,CI130-SUM(CM130:CO130))</f>
        <v>6240.15</v>
      </c>
      <c r="CQ130" s="9">
        <f>+(BQ130*CE130*faktorji!$B$24)+(BQ130^0.5*CC130*4*4*0.66*faktorji!$B$22)+(BQ130^0.5*CD130*4*4*0.33*faktorji!$B$25)</f>
        <v>0</v>
      </c>
      <c r="CR130" s="3" t="str">
        <f t="shared" si="97"/>
        <v/>
      </c>
      <c r="CS130" s="9">
        <f>+BQ130*('MOL_tabela rezultatov'!CH130*faktorji!$B$26)+faktorji!$B$27*CG130</f>
        <v>18000</v>
      </c>
      <c r="CT130" s="3" t="str">
        <f t="shared" si="95"/>
        <v xml:space="preserve">energetsko upravljanje, manjši investicijski in organizacijski ukrepi, </v>
      </c>
      <c r="CU130" s="9">
        <f t="shared" si="62"/>
        <v>4500</v>
      </c>
      <c r="CV130" s="9">
        <f t="shared" ref="CV130:CX130" si="104">+CU130</f>
        <v>4500</v>
      </c>
      <c r="CW130" s="9">
        <f t="shared" si="104"/>
        <v>4500</v>
      </c>
      <c r="CX130" s="69">
        <f t="shared" si="104"/>
        <v>4500</v>
      </c>
    </row>
    <row r="131" spans="1:102" s="10" customFormat="1" ht="18" hidden="1" customHeight="1">
      <c r="A131" s="54" t="s">
        <v>65</v>
      </c>
      <c r="B131" s="3" t="s">
        <v>66</v>
      </c>
      <c r="C131" s="56"/>
      <c r="D131" s="56"/>
      <c r="E131" s="51" t="s">
        <v>1168</v>
      </c>
      <c r="F131" s="51" t="s">
        <v>1255</v>
      </c>
      <c r="G131" s="51">
        <v>2</v>
      </c>
      <c r="H131" s="51"/>
      <c r="I131" s="51"/>
      <c r="J131" s="51">
        <v>4</v>
      </c>
      <c r="K131" s="37" t="s">
        <v>1241</v>
      </c>
      <c r="L131" s="50"/>
      <c r="M131" s="4" t="s">
        <v>6</v>
      </c>
      <c r="N131" s="25"/>
      <c r="O131" s="25">
        <v>26.130867567564067</v>
      </c>
      <c r="P131" s="25"/>
      <c r="Q131" s="25"/>
      <c r="R131" s="25"/>
      <c r="S131" s="25"/>
      <c r="T131" s="25">
        <v>15.134012689883766</v>
      </c>
      <c r="U131" s="25">
        <v>41.264880257447835</v>
      </c>
      <c r="V131" s="30">
        <v>97.638791547637197</v>
      </c>
      <c r="W131" s="30">
        <v>168.58624237138108</v>
      </c>
      <c r="X131" s="31"/>
      <c r="Y131" s="31"/>
      <c r="Z131" s="31"/>
      <c r="AA131" s="31"/>
      <c r="AB131" s="31"/>
      <c r="AC131" s="31"/>
      <c r="AD131" s="31"/>
      <c r="AE131" s="32">
        <v>0</v>
      </c>
      <c r="AF131" s="1"/>
      <c r="AG131" s="4"/>
      <c r="AH131" s="4"/>
      <c r="AI131" s="6">
        <v>155</v>
      </c>
      <c r="AJ131" s="38">
        <v>100</v>
      </c>
      <c r="AK131" s="3"/>
      <c r="AL131" s="1"/>
      <c r="AM131" s="37"/>
      <c r="AN131" s="37"/>
      <c r="AO131" s="37"/>
      <c r="AP131" s="37"/>
      <c r="AQ131" s="37"/>
      <c r="AR131" s="37"/>
      <c r="AS131" s="37"/>
      <c r="AT131" s="37"/>
      <c r="AU131" s="37"/>
      <c r="AV131" s="37"/>
      <c r="AW131" s="37"/>
      <c r="AX131" s="37"/>
      <c r="AY131" s="37"/>
      <c r="AZ131" s="37"/>
      <c r="BA131" s="37"/>
      <c r="BB131" s="37"/>
      <c r="BC131" s="37"/>
      <c r="BD131" s="37"/>
      <c r="BE131" s="37"/>
      <c r="BF131" s="37"/>
      <c r="BG131" s="42"/>
      <c r="BH131" s="42">
        <v>16.151</v>
      </c>
      <c r="BI131" s="42"/>
      <c r="BJ131" s="42"/>
      <c r="BK131" s="44">
        <v>16.151</v>
      </c>
      <c r="BL131" s="44">
        <v>10.7105</v>
      </c>
      <c r="BM131" s="44">
        <f>+BK131+BL131</f>
        <v>26.861499999999999</v>
      </c>
      <c r="BN131" s="47">
        <v>104.2</v>
      </c>
      <c r="BO131" s="47">
        <v>69.099999999999994</v>
      </c>
      <c r="BP131" s="45">
        <v>173.3</v>
      </c>
      <c r="BQ131" s="9">
        <v>155</v>
      </c>
      <c r="BR131" s="4"/>
      <c r="BS131" s="4"/>
      <c r="BT131" s="4"/>
      <c r="BU131" s="4"/>
      <c r="BV131" s="4"/>
      <c r="BW131" s="4"/>
      <c r="BX131" s="4"/>
      <c r="BY131" s="9">
        <f>+INT(BK131*faktorji!$B$5)</f>
        <v>1534</v>
      </c>
      <c r="BZ131" s="9">
        <f>+INT(BL131*faktorji!$B$4)</f>
        <v>1767</v>
      </c>
      <c r="CA131" s="3" t="s">
        <v>1313</v>
      </c>
      <c r="CB131" s="4">
        <v>0</v>
      </c>
      <c r="CC131" s="4">
        <v>0</v>
      </c>
      <c r="CD131" s="4">
        <v>0</v>
      </c>
      <c r="CE131" s="4">
        <v>0</v>
      </c>
      <c r="CF131" s="4">
        <v>0</v>
      </c>
      <c r="CG131" s="4">
        <v>1</v>
      </c>
      <c r="CH131" s="4">
        <v>1</v>
      </c>
      <c r="CI131" s="9">
        <f>+BQ131*(CB131*faktorji!$B$21+'MOL_tabela rezultatov'!CF20*faktorji!$B$23+'MOL_tabela rezultatov'!CH20*faktorji!$B$26)+faktorji!$B$27*CG131</f>
        <v>20557.5</v>
      </c>
      <c r="CJ131" s="9">
        <f>+(BZ131*CF131*faktorji!$B$18)+(CG131*faktorji!$B$17*('MOL_tabela rezultatov'!BY20+'MOL_tabela rezultatov'!BZ20))+('MOL_tabela rezultatov'!CH20*faktorji!$B$16*'MOL_tabela rezultatov'!BY20)+('MOL_tabela rezultatov'!CB20*faktorji!$B$12*'MOL_tabela rezultatov'!BY20)</f>
        <v>1806.1</v>
      </c>
      <c r="CK131" s="66">
        <f>+CI131/CJ131</f>
        <v>11.382260118487348</v>
      </c>
      <c r="CL131" s="3" t="str">
        <f>CONCATENATE(IF(CB131&gt;0,"kotlovnica/toplotna postaja, ",""),IF(CF131&gt;0,"razsvetljava, ",""),IF(CG131&gt;0,"energetsko upravljanje, ",""),IF(CH131&gt;0,"manjši investicijski in organizacijski ukrepi, ",""))</f>
        <v xml:space="preserve">energetsko upravljanje, manjši investicijski in organizacijski ukrepi, </v>
      </c>
      <c r="CM131" s="9">
        <f>+CJ131*0.9</f>
        <v>1625.49</v>
      </c>
      <c r="CN131" s="9">
        <f>+CJ131*0.9</f>
        <v>1625.49</v>
      </c>
      <c r="CO131" s="9">
        <f>+CJ131*0.9</f>
        <v>1625.49</v>
      </c>
      <c r="CP131" s="69">
        <f>+IF(CI131-SUM(CM131:CO131)&lt;0,0,CI131-SUM(CM131:CO131))</f>
        <v>15681.029999999999</v>
      </c>
      <c r="CQ131" s="9">
        <f>+(BQ131*CE131*faktorji!$B$24)+(BQ131^0.5*CC131*4*4*0.66*faktorji!$B$22)+(BQ131^0.5*CD131*4*4*0.33*faktorji!$B$25)</f>
        <v>0</v>
      </c>
      <c r="CR131" s="3" t="str">
        <f t="shared" si="97"/>
        <v/>
      </c>
      <c r="CS131" s="9">
        <f>+BQ131*('MOL_tabela rezultatov'!CH131*faktorji!$B$26)+faktorji!$B$27*CG131</f>
        <v>18232.5</v>
      </c>
      <c r="CT131" s="3" t="str">
        <f t="shared" si="95"/>
        <v xml:space="preserve">energetsko upravljanje, manjši investicijski in organizacijski ukrepi, </v>
      </c>
      <c r="CU131" s="9">
        <f t="shared" si="62"/>
        <v>4558.125</v>
      </c>
      <c r="CV131" s="9">
        <f t="shared" ref="CV131:CX131" si="105">+CU131</f>
        <v>4558.125</v>
      </c>
      <c r="CW131" s="9">
        <f t="shared" si="105"/>
        <v>4558.125</v>
      </c>
      <c r="CX131" s="69">
        <f t="shared" si="105"/>
        <v>4558.125</v>
      </c>
    </row>
    <row r="132" spans="1:102" s="10" customFormat="1" ht="18" hidden="1" customHeight="1">
      <c r="A132" s="53" t="s">
        <v>479</v>
      </c>
      <c r="B132" s="2" t="s">
        <v>480</v>
      </c>
      <c r="C132" s="57"/>
      <c r="D132" s="57"/>
      <c r="E132" s="51" t="s">
        <v>1175</v>
      </c>
      <c r="F132" s="51"/>
      <c r="G132" s="51">
        <v>3</v>
      </c>
      <c r="H132" s="51"/>
      <c r="I132" s="51"/>
      <c r="J132" s="51">
        <v>7</v>
      </c>
      <c r="K132" s="37" t="s">
        <v>1244</v>
      </c>
      <c r="L132" s="50"/>
      <c r="M132" s="4" t="s">
        <v>6</v>
      </c>
      <c r="N132" s="25"/>
      <c r="O132" s="28">
        <v>712.40499999999997</v>
      </c>
      <c r="P132" s="25"/>
      <c r="Q132" s="25"/>
      <c r="R132" s="25"/>
      <c r="S132" s="25"/>
      <c r="T132" s="25">
        <v>56.445</v>
      </c>
      <c r="U132" s="25">
        <v>768.85</v>
      </c>
      <c r="V132" s="30">
        <v>10.907246376811594</v>
      </c>
      <c r="W132" s="30">
        <v>137.66280193236716</v>
      </c>
      <c r="X132" s="31"/>
      <c r="Y132" s="31"/>
      <c r="Z132" s="31"/>
      <c r="AA132" s="31"/>
      <c r="AB132" s="31"/>
      <c r="AC132" s="31"/>
      <c r="AD132" s="31"/>
      <c r="AE132" s="32"/>
      <c r="AF132" s="16" t="s">
        <v>481</v>
      </c>
      <c r="AG132" s="3">
        <v>2002</v>
      </c>
      <c r="AH132" s="4"/>
      <c r="AI132" s="6">
        <v>5175</v>
      </c>
      <c r="AJ132" s="38">
        <v>100</v>
      </c>
      <c r="AK132" s="3"/>
      <c r="AL132" s="1" t="s">
        <v>482</v>
      </c>
      <c r="AM132" s="37"/>
      <c r="AN132" s="37"/>
      <c r="AO132" s="37"/>
      <c r="AP132" s="37"/>
      <c r="AQ132" s="39"/>
      <c r="AR132" s="39"/>
      <c r="AS132" s="39"/>
      <c r="AT132" s="39"/>
      <c r="AU132" s="37"/>
      <c r="AV132" s="37"/>
      <c r="AW132" s="37"/>
      <c r="AX132" s="37"/>
      <c r="AY132" s="37"/>
      <c r="AZ132" s="37"/>
      <c r="BA132" s="37"/>
      <c r="BB132" s="37"/>
      <c r="BC132" s="37"/>
      <c r="BD132" s="37"/>
      <c r="BE132" s="37"/>
      <c r="BF132" s="37"/>
      <c r="BG132" s="42"/>
      <c r="BH132" s="42">
        <v>567.5</v>
      </c>
      <c r="BI132" s="42"/>
      <c r="BJ132" s="42"/>
      <c r="BK132" s="44">
        <v>567.5</v>
      </c>
      <c r="BL132" s="44">
        <v>56.45</v>
      </c>
      <c r="BM132" s="44">
        <f>+BK132+BL132</f>
        <v>623.95000000000005</v>
      </c>
      <c r="BN132" s="47">
        <v>109.66183574879227</v>
      </c>
      <c r="BO132" s="47">
        <v>10.908212560386474</v>
      </c>
      <c r="BP132" s="45">
        <v>120.57004830917874</v>
      </c>
      <c r="BQ132" s="9">
        <v>5175</v>
      </c>
      <c r="BR132" s="4"/>
      <c r="BS132" s="4"/>
      <c r="BT132" s="4"/>
      <c r="BU132" s="4"/>
      <c r="BV132" s="4"/>
      <c r="BW132" s="4"/>
      <c r="BX132" s="4"/>
      <c r="BY132" s="9">
        <f>+INT(BK132*faktorji!$B$5)</f>
        <v>53912</v>
      </c>
      <c r="BZ132" s="9">
        <f>+INT(BL132*faktorji!$B$4)</f>
        <v>9314</v>
      </c>
      <c r="CA132" s="4"/>
      <c r="CB132" s="4">
        <v>0</v>
      </c>
      <c r="CC132" s="4">
        <v>0</v>
      </c>
      <c r="CD132" s="4">
        <v>0</v>
      </c>
      <c r="CE132" s="4">
        <v>0</v>
      </c>
      <c r="CF132" s="4">
        <v>0</v>
      </c>
      <c r="CG132" s="4">
        <v>1</v>
      </c>
      <c r="CH132" s="4">
        <v>1</v>
      </c>
      <c r="CI132" s="9">
        <f>+BQ132*(CB132*faktorji!$B$21+'MOL_tabela rezultatov'!CF185*faktorji!$B$23+'MOL_tabela rezultatov'!CH185*faktorji!$B$26)+faktorji!$B$27*CG132</f>
        <v>25762.5</v>
      </c>
      <c r="CJ132" s="9">
        <f>+(BZ132*CF132*faktorji!$B$18)+(CG132*faktorji!$B$17*('MOL_tabela rezultatov'!BY185+'MOL_tabela rezultatov'!BZ185))+('MOL_tabela rezultatov'!CH185*faktorji!$B$16*'MOL_tabela rezultatov'!BY185)+('MOL_tabela rezultatov'!CB185*faktorji!$B$12*'MOL_tabela rezultatov'!BY185)</f>
        <v>0</v>
      </c>
      <c r="CK132" s="66" t="e">
        <f>+CI132/CJ132</f>
        <v>#DIV/0!</v>
      </c>
      <c r="CL132" s="3" t="str">
        <f>CONCATENATE(IF(CB132&gt;0,"kotlovnica/toplotna postaja, ",""),IF(CF132&gt;0,"razsvetljava, ",""),IF(CG132&gt;0,"energetsko upravljanje, ",""),IF(CH132&gt;0,"manjši investicijski in organizacijski ukrepi, ",""))</f>
        <v xml:space="preserve">energetsko upravljanje, manjši investicijski in organizacijski ukrepi, </v>
      </c>
      <c r="CM132" s="9">
        <f>+CJ132*0.9</f>
        <v>0</v>
      </c>
      <c r="CN132" s="9">
        <f>+CJ132*0.9</f>
        <v>0</v>
      </c>
      <c r="CO132" s="9">
        <f>+CJ132*0.9</f>
        <v>0</v>
      </c>
      <c r="CP132" s="69">
        <f>+IF(CI132-SUM(CM132:CO132)&lt;0,0,CI132-SUM(CM132:CO132))</f>
        <v>25762.5</v>
      </c>
      <c r="CQ132" s="9">
        <f>+(BQ132*CE132*faktorji!$B$24)+(BQ132^0.5*CC132*4*4*0.66*faktorji!$B$22)+(BQ132^0.5*CD132*4*4*0.33*faktorji!$B$25)</f>
        <v>0</v>
      </c>
      <c r="CR132" s="3" t="str">
        <f t="shared" si="97"/>
        <v/>
      </c>
      <c r="CS132" s="9">
        <f>+BQ132*('MOL_tabela rezultatov'!CH132*faktorji!$B$26)+faktorji!$B$27*CG132</f>
        <v>25762.5</v>
      </c>
      <c r="CT132" s="3" t="str">
        <f t="shared" si="95"/>
        <v xml:space="preserve">energetsko upravljanje, manjši investicijski in organizacijski ukrepi, </v>
      </c>
      <c r="CU132" s="9">
        <f t="shared" si="62"/>
        <v>6440.625</v>
      </c>
      <c r="CV132" s="9">
        <f t="shared" ref="CV132:CX132" si="106">+CU132</f>
        <v>6440.625</v>
      </c>
      <c r="CW132" s="9">
        <f t="shared" si="106"/>
        <v>6440.625</v>
      </c>
      <c r="CX132" s="69">
        <f t="shared" si="106"/>
        <v>6440.625</v>
      </c>
    </row>
    <row r="133" spans="1:102" s="10" customFormat="1" ht="18" customHeight="1">
      <c r="A133" s="118" t="s">
        <v>336</v>
      </c>
      <c r="B133" s="147" t="s">
        <v>337</v>
      </c>
      <c r="C133" s="56"/>
      <c r="D133" s="56"/>
      <c r="E133" s="51" t="s">
        <v>331</v>
      </c>
      <c r="F133" s="51"/>
      <c r="G133" s="51">
        <v>2</v>
      </c>
      <c r="H133" s="51" t="s">
        <v>1255</v>
      </c>
      <c r="I133" s="51"/>
      <c r="J133" s="51">
        <v>5</v>
      </c>
      <c r="K133" s="37" t="s">
        <v>1243</v>
      </c>
      <c r="L133" s="50"/>
      <c r="M133" s="4" t="s">
        <v>5</v>
      </c>
      <c r="N133" s="25">
        <v>2996</v>
      </c>
      <c r="O133" s="25"/>
      <c r="P133" s="25"/>
      <c r="Q133" s="25"/>
      <c r="R133" s="25"/>
      <c r="S133" s="25"/>
      <c r="T133" s="25">
        <v>1180</v>
      </c>
      <c r="U133" s="25">
        <v>4176</v>
      </c>
      <c r="V133" s="30">
        <v>146.54744162940884</v>
      </c>
      <c r="W133" s="30">
        <v>372.0814704421262</v>
      </c>
      <c r="X133" s="31">
        <v>3109</v>
      </c>
      <c r="Y133" s="31"/>
      <c r="Z133" s="31"/>
      <c r="AA133" s="31"/>
      <c r="AB133" s="31"/>
      <c r="AC133" s="31">
        <v>970</v>
      </c>
      <c r="AD133" s="31"/>
      <c r="AE133" s="32">
        <v>386.11525086934921</v>
      </c>
      <c r="AF133" s="1"/>
      <c r="AG133" s="4" t="s">
        <v>338</v>
      </c>
      <c r="AH133" s="4"/>
      <c r="AI133" s="6">
        <v>8052</v>
      </c>
      <c r="AJ133" s="38">
        <v>100</v>
      </c>
      <c r="AK133" s="3"/>
      <c r="AL133" s="1"/>
      <c r="AM133" s="37">
        <f>2821+698.2</f>
        <v>3519.2</v>
      </c>
      <c r="AN133" s="37">
        <f>3039.7+807.8</f>
        <v>3847.5</v>
      </c>
      <c r="AO133" s="37">
        <f>2747.9+766.2</f>
        <v>3514.1000000000004</v>
      </c>
      <c r="AP133" s="37">
        <f>2721.8+867.5</f>
        <v>3589.3</v>
      </c>
      <c r="AQ133" s="37"/>
      <c r="AR133" s="37"/>
      <c r="AS133" s="37"/>
      <c r="AT133" s="37"/>
      <c r="AU133" s="37"/>
      <c r="AV133" s="37"/>
      <c r="AW133" s="37"/>
      <c r="AX133" s="37"/>
      <c r="AY133" s="37"/>
      <c r="AZ133" s="37"/>
      <c r="BA133" s="37"/>
      <c r="BB133" s="37"/>
      <c r="BC133" s="37"/>
      <c r="BD133" s="37"/>
      <c r="BE133" s="37"/>
      <c r="BF133" s="37"/>
      <c r="BG133" s="42">
        <v>3617.5249999999996</v>
      </c>
      <c r="BH133" s="42"/>
      <c r="BI133" s="42"/>
      <c r="BJ133" s="42"/>
      <c r="BK133" s="44">
        <v>3617.5249999999996</v>
      </c>
      <c r="BL133" s="44">
        <v>1080</v>
      </c>
      <c r="BM133" s="44">
        <f>+BK133+BL133</f>
        <v>4697.5249999999996</v>
      </c>
      <c r="BN133" s="47">
        <v>333.96648818316095</v>
      </c>
      <c r="BO133" s="47">
        <v>99.704579025110789</v>
      </c>
      <c r="BP133" s="45">
        <v>433.67106720827178</v>
      </c>
      <c r="BQ133" s="9">
        <v>10832</v>
      </c>
      <c r="BR133" s="4"/>
      <c r="BS133" s="4">
        <v>1974</v>
      </c>
      <c r="BT133" s="4" t="s">
        <v>872</v>
      </c>
      <c r="BU133" s="4">
        <v>16.02</v>
      </c>
      <c r="BV133" s="4"/>
      <c r="BW133" s="4" t="s">
        <v>1160</v>
      </c>
      <c r="BX133" s="4"/>
      <c r="BY133" s="9">
        <f>+INT(BK133*faktorji!$B$3)</f>
        <v>235139</v>
      </c>
      <c r="BZ133" s="9">
        <f>+INT(BL133*faktorji!$B$4)</f>
        <v>178200</v>
      </c>
      <c r="CA133" s="72" t="s">
        <v>1302</v>
      </c>
      <c r="CB133" s="4">
        <v>1</v>
      </c>
      <c r="CC133" s="4">
        <v>0</v>
      </c>
      <c r="CD133" s="4">
        <v>0</v>
      </c>
      <c r="CE133" s="4">
        <v>0</v>
      </c>
      <c r="CF133" s="4">
        <v>1</v>
      </c>
      <c r="CG133" s="4">
        <v>1</v>
      </c>
      <c r="CH133" s="4">
        <v>0</v>
      </c>
      <c r="CI133" s="9">
        <f>+BQ133*(CB133*faktorji!$B$21+'MOL_tabela rezultatov'!CF134*faktorji!$B$23+'MOL_tabela rezultatov'!CH134*faktorji!$B$26)+faktorji!$B$27*CG133</f>
        <v>359208</v>
      </c>
      <c r="CJ133" s="9">
        <f>+(BZ133*CF133*faktorji!$B$18)+(CG133*faktorji!$B$17*('MOL_tabela rezultatov'!BY134+'MOL_tabela rezultatov'!BZ134))+('MOL_tabela rezultatov'!CH134*faktorji!$B$16*'MOL_tabela rezultatov'!BY134)+('MOL_tabela rezultatov'!CB134*faktorji!$B$12*'MOL_tabela rezultatov'!BY134)</f>
        <v>29835.300000000003</v>
      </c>
      <c r="CK133" s="66">
        <f>+CI133/CJ133</f>
        <v>12.039697941699931</v>
      </c>
      <c r="CL133" s="3" t="str">
        <f>CONCATENATE(IF(CB133&gt;0,"kotlovnica/toplotna postaja, ",""),IF(CF133&gt;0,"razsvetljava, ",""),IF(CG133&gt;0,"energetsko upravljanje, ",""),IF(CH133&gt;0,"manjši investicijski in organizacijski ukrepi, ",""))</f>
        <v xml:space="preserve">kotlovnica/toplotna postaja, razsvetljava, energetsko upravljanje, </v>
      </c>
      <c r="CM133" s="9">
        <f>+CJ133*0.9</f>
        <v>26851.770000000004</v>
      </c>
      <c r="CN133" s="9">
        <f>+CJ133*0.9</f>
        <v>26851.770000000004</v>
      </c>
      <c r="CO133" s="9">
        <f>+CJ133*0.9</f>
        <v>26851.770000000004</v>
      </c>
      <c r="CP133" s="69">
        <f>+IF(CI133-SUM(CM133:CO133)&lt;0,0,CI133-SUM(CM133:CO133))</f>
        <v>278652.69</v>
      </c>
      <c r="CQ133" s="9">
        <f>+(BQ133*CE133*faktorji!$B$24)+(BQ133^0.5*CC133*4*4*0.66*faktorji!$B$22)+(BQ133^0.5*CD133*4*4*0.33*faktorji!$B$25)</f>
        <v>0</v>
      </c>
      <c r="CR133" s="3" t="str">
        <f t="shared" si="97"/>
        <v/>
      </c>
      <c r="CS133" s="9">
        <f>+BQ133*('MOL_tabela rezultatov'!CH133*faktorji!$B$26)+faktorji!$B$27*CG133</f>
        <v>18000</v>
      </c>
      <c r="CT133" s="3" t="str">
        <f t="shared" si="95"/>
        <v xml:space="preserve">energetsko upravljanje, </v>
      </c>
      <c r="CU133" s="9">
        <f t="shared" si="62"/>
        <v>4500</v>
      </c>
      <c r="CV133" s="9">
        <f t="shared" ref="CV133:CX133" si="107">+CU133</f>
        <v>4500</v>
      </c>
      <c r="CW133" s="9">
        <f t="shared" si="107"/>
        <v>4500</v>
      </c>
      <c r="CX133" s="69">
        <f t="shared" si="107"/>
        <v>4500</v>
      </c>
    </row>
    <row r="134" spans="1:102" s="10" customFormat="1" ht="18" hidden="1" customHeight="1">
      <c r="A134" s="54" t="s">
        <v>843</v>
      </c>
      <c r="B134" s="3" t="s">
        <v>685</v>
      </c>
      <c r="C134" s="56"/>
      <c r="D134" s="56"/>
      <c r="E134" s="51" t="s">
        <v>1176</v>
      </c>
      <c r="F134" s="51"/>
      <c r="G134" s="51">
        <v>2</v>
      </c>
      <c r="H134" s="71" t="s">
        <v>1285</v>
      </c>
      <c r="I134" s="71"/>
      <c r="J134" s="51">
        <v>1</v>
      </c>
      <c r="K134" s="37" t="s">
        <v>1242</v>
      </c>
      <c r="L134" s="50"/>
      <c r="M134" s="4" t="s">
        <v>6</v>
      </c>
      <c r="N134" s="25"/>
      <c r="O134" s="25"/>
      <c r="P134" s="25"/>
      <c r="Q134" s="25"/>
      <c r="R134" s="25"/>
      <c r="S134" s="25"/>
      <c r="T134" s="25">
        <v>29.433450941864955</v>
      </c>
      <c r="U134" s="25">
        <v>29.433450941864955</v>
      </c>
      <c r="V134" s="30">
        <v>31.819946964178328</v>
      </c>
      <c r="W134" s="30"/>
      <c r="X134" s="31"/>
      <c r="Y134" s="31"/>
      <c r="Z134" s="31"/>
      <c r="AA134" s="31"/>
      <c r="AB134" s="31"/>
      <c r="AC134" s="31"/>
      <c r="AD134" s="31"/>
      <c r="AE134" s="32"/>
      <c r="AF134" s="16" t="s">
        <v>684</v>
      </c>
      <c r="AG134" s="3" t="s">
        <v>684</v>
      </c>
      <c r="AH134" s="4"/>
      <c r="AI134" s="6">
        <v>925</v>
      </c>
      <c r="AJ134" s="38">
        <v>100</v>
      </c>
      <c r="AK134" s="3"/>
      <c r="AL134" s="1" t="s">
        <v>686</v>
      </c>
      <c r="AM134" s="37"/>
      <c r="AN134" s="37"/>
      <c r="AO134" s="37"/>
      <c r="AP134" s="37"/>
      <c r="AQ134" s="37"/>
      <c r="AR134" s="37"/>
      <c r="AS134" s="37"/>
      <c r="AT134" s="37"/>
      <c r="AU134" s="37"/>
      <c r="AV134" s="37"/>
      <c r="AW134" s="37"/>
      <c r="AX134" s="37"/>
      <c r="AY134" s="37"/>
      <c r="AZ134" s="37"/>
      <c r="BA134" s="37"/>
      <c r="BB134" s="37"/>
      <c r="BC134" s="37">
        <v>98.5</v>
      </c>
      <c r="BD134" s="37">
        <v>169.7</v>
      </c>
      <c r="BE134" s="37">
        <v>139.69999999999999</v>
      </c>
      <c r="BF134" s="37">
        <v>132.6</v>
      </c>
      <c r="BG134" s="42"/>
      <c r="BH134" s="42">
        <v>46.1</v>
      </c>
      <c r="BI134" s="42"/>
      <c r="BJ134" s="42"/>
      <c r="BK134" s="44">
        <v>46.1</v>
      </c>
      <c r="BL134" s="44">
        <v>135.125</v>
      </c>
      <c r="BM134" s="44">
        <f>+BK134+BL134</f>
        <v>181.22499999999999</v>
      </c>
      <c r="BN134" s="47">
        <v>52.267573696145128</v>
      </c>
      <c r="BO134" s="47">
        <v>153.202947845805</v>
      </c>
      <c r="BP134" s="45">
        <v>205.47052154195012</v>
      </c>
      <c r="BQ134" s="9">
        <v>882</v>
      </c>
      <c r="BR134" s="4" t="s">
        <v>907</v>
      </c>
      <c r="BS134" s="4">
        <v>1998</v>
      </c>
      <c r="BT134" s="4" t="s">
        <v>872</v>
      </c>
      <c r="BU134" s="4" t="s">
        <v>910</v>
      </c>
      <c r="BV134" s="4"/>
      <c r="BW134" s="4"/>
      <c r="BX134" s="1" t="s">
        <v>908</v>
      </c>
      <c r="BY134" s="9">
        <f>+INT(BK134*faktorji!$B$5)</f>
        <v>4379</v>
      </c>
      <c r="BZ134" s="9">
        <f>+INT(BL134*faktorji!$B$4)</f>
        <v>22295</v>
      </c>
      <c r="CA134" s="3" t="s">
        <v>1322</v>
      </c>
      <c r="CB134" s="4">
        <v>0</v>
      </c>
      <c r="CC134" s="4">
        <v>0</v>
      </c>
      <c r="CD134" s="4">
        <v>0</v>
      </c>
      <c r="CE134" s="4">
        <v>0</v>
      </c>
      <c r="CF134" s="4">
        <v>1</v>
      </c>
      <c r="CG134" s="4">
        <v>1</v>
      </c>
      <c r="CH134" s="4">
        <v>1</v>
      </c>
      <c r="CI134" s="9">
        <v>75000</v>
      </c>
      <c r="CJ134" s="9">
        <f>+(BZ134*CF134*faktorji!$B$18)+(CG134*faktorji!$B$17*('MOL_tabela rezultatov'!BY253+'MOL_tabela rezultatov'!BZ253))+('MOL_tabela rezultatov'!CH253*faktorji!$B$16*'MOL_tabela rezultatov'!BY253)+('MOL_tabela rezultatov'!CB253*faktorji!$B$12*'MOL_tabela rezultatov'!BY253)</f>
        <v>3702.5499999999997</v>
      </c>
      <c r="CK134" s="66">
        <f>+CI134/CJ134</f>
        <v>20.256309840515321</v>
      </c>
      <c r="CL134" s="3" t="str">
        <f>CONCATENATE(IF(CB134&gt;0,"kotlovnica/toplotna postaja, ",""),IF(CF134&gt;0,"razsvetljava, ",""),IF(CG134&gt;0,"energetsko upravljanje, ",""),IF(CH134&gt;0,"manjši investicijski in organizacijski ukrepi, ",""))</f>
        <v xml:space="preserve">razsvetljava, energetsko upravljanje, manjši investicijski in organizacijski ukrepi, </v>
      </c>
      <c r="CM134" s="9">
        <f>+CJ134*0.9</f>
        <v>3332.2949999999996</v>
      </c>
      <c r="CN134" s="9">
        <f>+CJ134*0.9</f>
        <v>3332.2949999999996</v>
      </c>
      <c r="CO134" s="9">
        <f>+CJ134*0.9</f>
        <v>3332.2949999999996</v>
      </c>
      <c r="CP134" s="69">
        <f>+IF(CI134-SUM(CM134:CO134)&lt;0,0,CI134-SUM(CM134:CO134))</f>
        <v>65003.115000000005</v>
      </c>
      <c r="CQ134" s="9">
        <f>+(BQ134*CE134*faktorji!$B$24)+(BQ134^0.5*CC134*4*4*0.66*faktorji!$B$22)+(BQ134^0.5*CD134*4*4*0.33*faktorji!$B$25)</f>
        <v>0</v>
      </c>
      <c r="CR134" s="3" t="str">
        <f t="shared" si="97"/>
        <v/>
      </c>
      <c r="CS134" s="9">
        <f>+BQ134*('MOL_tabela rezultatov'!CH134*faktorji!$B$26)+faktorji!$B$27*CG134</f>
        <v>19323</v>
      </c>
      <c r="CT134" s="3" t="str">
        <f t="shared" si="95"/>
        <v xml:space="preserve">energetsko upravljanje, manjši investicijski in organizacijski ukrepi, </v>
      </c>
      <c r="CU134" s="9">
        <f t="shared" si="62"/>
        <v>4830.75</v>
      </c>
      <c r="CV134" s="9">
        <f t="shared" ref="CV134:CX134" si="108">+CU134</f>
        <v>4830.75</v>
      </c>
      <c r="CW134" s="9">
        <f t="shared" si="108"/>
        <v>4830.75</v>
      </c>
      <c r="CX134" s="69">
        <f t="shared" si="108"/>
        <v>4830.75</v>
      </c>
    </row>
    <row r="135" spans="1:102" s="10" customFormat="1" ht="18" hidden="1" customHeight="1">
      <c r="A135" s="53" t="s">
        <v>197</v>
      </c>
      <c r="B135" s="2" t="s">
        <v>853</v>
      </c>
      <c r="C135" s="57"/>
      <c r="D135" s="57"/>
      <c r="E135" s="51" t="s">
        <v>1171</v>
      </c>
      <c r="F135" s="51"/>
      <c r="G135" s="51">
        <v>3</v>
      </c>
      <c r="H135" s="51"/>
      <c r="I135" s="51"/>
      <c r="J135" s="51">
        <v>7</v>
      </c>
      <c r="K135" s="38"/>
      <c r="L135" s="50"/>
      <c r="M135" s="4" t="s">
        <v>7</v>
      </c>
      <c r="N135" s="25"/>
      <c r="O135" s="25"/>
      <c r="P135" s="25">
        <v>45.79</v>
      </c>
      <c r="Q135" s="25"/>
      <c r="R135" s="25"/>
      <c r="S135" s="25"/>
      <c r="T135" s="25">
        <v>2.9249999999999998</v>
      </c>
      <c r="U135" s="25">
        <v>48.714999999999996</v>
      </c>
      <c r="V135" s="30">
        <v>11.037735849056602</v>
      </c>
      <c r="W135" s="30">
        <v>172.79245283018867</v>
      </c>
      <c r="X135" s="31"/>
      <c r="Y135" s="31"/>
      <c r="Z135" s="31">
        <v>44.71</v>
      </c>
      <c r="AA135" s="31"/>
      <c r="AB135" s="31"/>
      <c r="AC135" s="31">
        <v>2.77</v>
      </c>
      <c r="AD135" s="31"/>
      <c r="AE135" s="32">
        <v>168.71698113207546</v>
      </c>
      <c r="AF135" s="1"/>
      <c r="AG135" s="4"/>
      <c r="AH135" s="4" t="s">
        <v>203</v>
      </c>
      <c r="AI135" s="4">
        <v>265</v>
      </c>
      <c r="AJ135" s="38">
        <v>100</v>
      </c>
      <c r="AK135" s="3"/>
      <c r="AL135" s="1" t="s">
        <v>202</v>
      </c>
      <c r="AM135" s="37"/>
      <c r="AN135" s="37"/>
      <c r="AO135" s="37"/>
      <c r="AP135" s="37"/>
      <c r="AQ135" s="37"/>
      <c r="AR135" s="37"/>
      <c r="AS135" s="37"/>
      <c r="AT135" s="37"/>
      <c r="AU135" s="37"/>
      <c r="AV135" s="37">
        <v>55</v>
      </c>
      <c r="AW135" s="37">
        <v>65</v>
      </c>
      <c r="AX135" s="37">
        <v>56</v>
      </c>
      <c r="AY135" s="37"/>
      <c r="AZ135" s="37"/>
      <c r="BA135" s="37"/>
      <c r="BB135" s="37"/>
      <c r="BC135" s="37"/>
      <c r="BD135" s="37">
        <v>7.23</v>
      </c>
      <c r="BE135" s="37">
        <v>6.68</v>
      </c>
      <c r="BF135" s="37">
        <v>7.59</v>
      </c>
      <c r="BG135" s="42"/>
      <c r="BH135" s="42"/>
      <c r="BI135" s="42">
        <v>58.666666666666664</v>
      </c>
      <c r="BJ135" s="42"/>
      <c r="BK135" s="44">
        <v>58.666666666666664</v>
      </c>
      <c r="BL135" s="44">
        <v>7.166666666666667</v>
      </c>
      <c r="BM135" s="44">
        <f>+BK135+BL135</f>
        <v>65.833333333333329</v>
      </c>
      <c r="BN135" s="47">
        <v>146.66666666666666</v>
      </c>
      <c r="BO135" s="47">
        <v>17.916666666666668</v>
      </c>
      <c r="BP135" s="45">
        <v>164.58333333333331</v>
      </c>
      <c r="BQ135" s="9">
        <v>400</v>
      </c>
      <c r="BR135" s="4">
        <v>30</v>
      </c>
      <c r="BS135" s="4"/>
      <c r="BT135" s="4" t="s">
        <v>1115</v>
      </c>
      <c r="BU135" s="4" t="s">
        <v>1116</v>
      </c>
      <c r="BV135" s="4"/>
      <c r="BW135" s="4"/>
      <c r="BX135" s="1" t="s">
        <v>1117</v>
      </c>
      <c r="BY135" s="9">
        <f>+INT(BK135*faktorji!$B$6)</f>
        <v>7333</v>
      </c>
      <c r="BZ135" s="9">
        <f>+INT(BL135*faktorji!$B$4)</f>
        <v>1182</v>
      </c>
      <c r="CA135" s="1"/>
      <c r="CB135" s="4">
        <v>0</v>
      </c>
      <c r="CC135" s="4">
        <v>0</v>
      </c>
      <c r="CD135" s="4">
        <v>0</v>
      </c>
      <c r="CE135" s="4">
        <v>0</v>
      </c>
      <c r="CF135" s="4">
        <v>1</v>
      </c>
      <c r="CG135" s="4">
        <v>1</v>
      </c>
      <c r="CH135" s="4">
        <v>1</v>
      </c>
      <c r="CI135" s="9">
        <f>+BQ135*(CB135*faktorji!$B$21+'MOL_tabela rezultatov'!CF71*faktorji!$B$23+'MOL_tabela rezultatov'!CH71*faktorji!$B$26)+faktorji!$B$27*CG135</f>
        <v>24600</v>
      </c>
      <c r="CJ135" s="9">
        <f>+(BZ135*CF135*faktorji!$B$18)+(CG135*faktorji!$B$17*('MOL_tabela rezultatov'!BY71+'MOL_tabela rezultatov'!BZ71))+('MOL_tabela rezultatov'!CH71*faktorji!$B$16*'MOL_tabela rezultatov'!BY71)+('MOL_tabela rezultatov'!CB71*faktorji!$B$12*'MOL_tabela rezultatov'!BY71)</f>
        <v>1672.6000000000001</v>
      </c>
      <c r="CK135" s="66">
        <f>+CI135/CJ135</f>
        <v>14.707640798756426</v>
      </c>
      <c r="CL135" s="3" t="str">
        <f>CONCATENATE(IF(CB135&gt;0,"kotlovnica/toplotna postaja, ",""),IF(CF135&gt;0,"razsvetljava, ",""),IF(CG135&gt;0,"energetsko upravljanje, ",""),IF(CH135&gt;0,"manjši investicijski in organizacijski ukrepi, ",""))</f>
        <v xml:space="preserve">razsvetljava, energetsko upravljanje, manjši investicijski in organizacijski ukrepi, </v>
      </c>
      <c r="CM135" s="9">
        <f>+CJ135*0.9</f>
        <v>1505.3400000000001</v>
      </c>
      <c r="CN135" s="9">
        <f>+CJ135*0.9</f>
        <v>1505.3400000000001</v>
      </c>
      <c r="CO135" s="9">
        <f>+CJ135*0.9</f>
        <v>1505.3400000000001</v>
      </c>
      <c r="CP135" s="69">
        <f>+IF(CI135-SUM(CM135:CO135)&lt;0,0,CI135-SUM(CM135:CO135))</f>
        <v>20083.98</v>
      </c>
      <c r="CQ135" s="9">
        <f>+(BQ135*CE135*faktorji!$B$24)+(BQ135^0.5*CC135*4*4*0.66*faktorji!$B$22)+(BQ135^0.5*CD135*4*4*0.33*faktorji!$B$25)</f>
        <v>0</v>
      </c>
      <c r="CR135" s="3" t="str">
        <f t="shared" si="97"/>
        <v/>
      </c>
      <c r="CS135" s="9">
        <f>+BQ135*('MOL_tabela rezultatov'!CH135*faktorji!$B$26)+faktorji!$B$27*CG135</f>
        <v>18600</v>
      </c>
      <c r="CT135" s="3" t="str">
        <f t="shared" si="95"/>
        <v xml:space="preserve">energetsko upravljanje, manjši investicijski in organizacijski ukrepi, </v>
      </c>
      <c r="CU135" s="9">
        <f t="shared" si="62"/>
        <v>4650</v>
      </c>
      <c r="CV135" s="9">
        <f t="shared" ref="CV135:CX135" si="109">+CU135</f>
        <v>4650</v>
      </c>
      <c r="CW135" s="9">
        <f t="shared" si="109"/>
        <v>4650</v>
      </c>
      <c r="CX135" s="69">
        <f t="shared" si="109"/>
        <v>4650</v>
      </c>
    </row>
    <row r="136" spans="1:102" s="10" customFormat="1" ht="18" hidden="1" customHeight="1">
      <c r="A136" s="53" t="s">
        <v>197</v>
      </c>
      <c r="B136" s="2" t="s">
        <v>204</v>
      </c>
      <c r="C136" s="57"/>
      <c r="D136" s="57"/>
      <c r="E136" s="51" t="s">
        <v>1171</v>
      </c>
      <c r="F136" s="51"/>
      <c r="G136" s="51">
        <v>3</v>
      </c>
      <c r="H136" s="51"/>
      <c r="I136" s="51"/>
      <c r="J136" s="51">
        <v>7</v>
      </c>
      <c r="K136" s="38"/>
      <c r="L136" s="50"/>
      <c r="M136" s="4" t="s">
        <v>7</v>
      </c>
      <c r="N136" s="25"/>
      <c r="O136" s="25"/>
      <c r="P136" s="25">
        <v>30.53</v>
      </c>
      <c r="Q136" s="25"/>
      <c r="R136" s="25"/>
      <c r="S136" s="25"/>
      <c r="T136" s="25">
        <v>4.17</v>
      </c>
      <c r="U136" s="25">
        <v>34.700000000000003</v>
      </c>
      <c r="V136" s="30">
        <v>20.85</v>
      </c>
      <c r="W136" s="30">
        <v>152.65</v>
      </c>
      <c r="X136" s="31"/>
      <c r="Y136" s="31"/>
      <c r="Z136" s="31">
        <v>29.8</v>
      </c>
      <c r="AA136" s="31"/>
      <c r="AB136" s="31"/>
      <c r="AC136" s="31">
        <v>4.57</v>
      </c>
      <c r="AD136" s="31"/>
      <c r="AE136" s="32">
        <v>149</v>
      </c>
      <c r="AF136" s="1"/>
      <c r="AG136" s="4"/>
      <c r="AH136" s="4" t="s">
        <v>205</v>
      </c>
      <c r="AI136" s="4">
        <v>200</v>
      </c>
      <c r="AJ136" s="38">
        <v>100</v>
      </c>
      <c r="AK136" s="3"/>
      <c r="AL136" s="1" t="s">
        <v>202</v>
      </c>
      <c r="AM136" s="37"/>
      <c r="AN136" s="37"/>
      <c r="AO136" s="37"/>
      <c r="AP136" s="37"/>
      <c r="AQ136" s="37"/>
      <c r="AR136" s="37"/>
      <c r="AS136" s="37"/>
      <c r="AT136" s="37"/>
      <c r="AU136" s="37"/>
      <c r="AV136" s="37"/>
      <c r="AW136" s="37"/>
      <c r="AX136" s="37"/>
      <c r="AY136" s="37"/>
      <c r="AZ136" s="37"/>
      <c r="BA136" s="37"/>
      <c r="BB136" s="37"/>
      <c r="BC136" s="37"/>
      <c r="BD136" s="37"/>
      <c r="BE136" s="37"/>
      <c r="BF136" s="37"/>
      <c r="BG136" s="42"/>
      <c r="BH136" s="42"/>
      <c r="BI136" s="42"/>
      <c r="BJ136" s="42"/>
      <c r="BK136" s="44"/>
      <c r="BL136" s="44"/>
      <c r="BM136" s="44">
        <f>+BK136+BL136</f>
        <v>0</v>
      </c>
      <c r="BN136" s="47"/>
      <c r="BO136" s="47"/>
      <c r="BP136" s="45"/>
      <c r="BQ136" s="9"/>
      <c r="BR136" s="4"/>
      <c r="BS136" s="4"/>
      <c r="BT136" s="4"/>
      <c r="BU136" s="4"/>
      <c r="BV136" s="4"/>
      <c r="BW136" s="4"/>
      <c r="BX136" s="4" t="s">
        <v>857</v>
      </c>
      <c r="BY136" s="9">
        <f>+INT(BK136*faktorji!$B$6)</f>
        <v>0</v>
      </c>
      <c r="BZ136" s="9">
        <f>+INT(BL136*faktorji!$B$4)</f>
        <v>0</v>
      </c>
      <c r="CA136" s="4"/>
      <c r="CB136" s="4">
        <v>0</v>
      </c>
      <c r="CC136" s="4">
        <v>0</v>
      </c>
      <c r="CD136" s="4">
        <v>0</v>
      </c>
      <c r="CE136" s="4">
        <v>0</v>
      </c>
      <c r="CF136" s="4">
        <v>1</v>
      </c>
      <c r="CG136" s="4">
        <v>1</v>
      </c>
      <c r="CH136" s="4">
        <v>1</v>
      </c>
      <c r="CI136" s="9">
        <f>+BQ136*(CB136*faktorji!$B$21+'MOL_tabela rezultatov'!CF72*faktorji!$B$23+'MOL_tabela rezultatov'!CH72*faktorji!$B$26)+faktorji!$B$27*CG136</f>
        <v>18000</v>
      </c>
      <c r="CJ136" s="9">
        <f>+(BZ136*CF136*faktorji!$B$18)+(CG136*faktorji!$B$17*('MOL_tabela rezultatov'!BY72+'MOL_tabela rezultatov'!BZ72))+('MOL_tabela rezultatov'!CH72*faktorji!$B$16*'MOL_tabela rezultatov'!BY72)+('MOL_tabela rezultatov'!CB72*faktorji!$B$12*'MOL_tabela rezultatov'!BY72)</f>
        <v>24749.1</v>
      </c>
      <c r="CK136" s="66">
        <f>+CI136/CJ136</f>
        <v>0.72729917451543702</v>
      </c>
      <c r="CL136" s="3" t="str">
        <f>CONCATENATE(IF(CB136&gt;0,"kotlovnica/toplotna postaja, ",""),IF(CF136&gt;0,"razsvetljava, ",""),IF(CG136&gt;0,"energetsko upravljanje, ",""),IF(CH136&gt;0,"manjši investicijski in organizacijski ukrepi, ",""))</f>
        <v xml:space="preserve">razsvetljava, energetsko upravljanje, manjši investicijski in organizacijski ukrepi, </v>
      </c>
      <c r="CM136" s="9">
        <f>+CJ136*0.9</f>
        <v>22274.19</v>
      </c>
      <c r="CN136" s="9">
        <f>+CJ136*0.9</f>
        <v>22274.19</v>
      </c>
      <c r="CO136" s="9">
        <f>+CJ136*0.9</f>
        <v>22274.19</v>
      </c>
      <c r="CP136" s="69">
        <f>+IF(CI136-SUM(CM136:CO136)&lt;0,0,CI136-SUM(CM136:CO136))</f>
        <v>0</v>
      </c>
      <c r="CQ136" s="9">
        <f>+(BQ136*CE136*faktorji!$B$24)+(BQ136^0.5*CC136*4*4*0.66*faktorji!$B$22)+(BQ136^0.5*CD136*4*4*0.33*faktorji!$B$25)</f>
        <v>0</v>
      </c>
      <c r="CR136" s="3" t="str">
        <f t="shared" si="97"/>
        <v/>
      </c>
      <c r="CS136" s="9">
        <f>+BQ136*('MOL_tabela rezultatov'!CH136*faktorji!$B$26)+faktorji!$B$27*CG136</f>
        <v>18000</v>
      </c>
      <c r="CT136" s="3" t="str">
        <f t="shared" si="95"/>
        <v xml:space="preserve">energetsko upravljanje, manjši investicijski in organizacijski ukrepi, </v>
      </c>
      <c r="CU136" s="9">
        <f t="shared" si="62"/>
        <v>4500</v>
      </c>
      <c r="CV136" s="9">
        <f t="shared" ref="CV136:CX136" si="110">+CU136</f>
        <v>4500</v>
      </c>
      <c r="CW136" s="9">
        <f t="shared" si="110"/>
        <v>4500</v>
      </c>
      <c r="CX136" s="69">
        <f t="shared" si="110"/>
        <v>4500</v>
      </c>
    </row>
    <row r="137" spans="1:102" s="10" customFormat="1" ht="18" hidden="1" customHeight="1">
      <c r="A137" s="53" t="s">
        <v>292</v>
      </c>
      <c r="B137" s="2" t="s">
        <v>296</v>
      </c>
      <c r="C137" s="57"/>
      <c r="D137" s="57"/>
      <c r="E137" s="51" t="s">
        <v>1174</v>
      </c>
      <c r="F137" s="51"/>
      <c r="G137" s="51">
        <v>4</v>
      </c>
      <c r="H137" s="51"/>
      <c r="I137" s="51"/>
      <c r="J137" s="51">
        <v>7</v>
      </c>
      <c r="K137" s="37" t="s">
        <v>1241</v>
      </c>
      <c r="L137" s="50"/>
      <c r="M137" s="1" t="s">
        <v>1186</v>
      </c>
      <c r="N137" s="25"/>
      <c r="O137" s="25"/>
      <c r="P137" s="25"/>
      <c r="Q137" s="25">
        <v>3.7749999999999999</v>
      </c>
      <c r="R137" s="25"/>
      <c r="S137" s="25"/>
      <c r="T137" s="25">
        <v>3.7749999999999999</v>
      </c>
      <c r="U137" s="25">
        <v>3.7749999999999999</v>
      </c>
      <c r="V137" s="30">
        <v>25.856164383561641</v>
      </c>
      <c r="W137" s="30">
        <v>25.856164383561644</v>
      </c>
      <c r="X137" s="31"/>
      <c r="Y137" s="31"/>
      <c r="Z137" s="31"/>
      <c r="AA137" s="31"/>
      <c r="AB137" s="31"/>
      <c r="AC137" s="31">
        <v>7.18</v>
      </c>
      <c r="AD137" s="31"/>
      <c r="AE137" s="32">
        <v>0</v>
      </c>
      <c r="AF137" s="1"/>
      <c r="AG137" s="4"/>
      <c r="AH137" s="4"/>
      <c r="AI137" s="6">
        <v>146</v>
      </c>
      <c r="AJ137" s="38">
        <v>100</v>
      </c>
      <c r="AK137" s="3"/>
      <c r="AL137" s="1"/>
      <c r="AM137" s="37"/>
      <c r="AN137" s="37"/>
      <c r="AO137" s="37"/>
      <c r="AP137" s="37"/>
      <c r="AQ137" s="37"/>
      <c r="AR137" s="37"/>
      <c r="AS137" s="37"/>
      <c r="AT137" s="37"/>
      <c r="AU137" s="37"/>
      <c r="AV137" s="37"/>
      <c r="AW137" s="37"/>
      <c r="AX137" s="37"/>
      <c r="AY137" s="37"/>
      <c r="AZ137" s="37"/>
      <c r="BA137" s="37"/>
      <c r="BB137" s="37"/>
      <c r="BC137" s="37"/>
      <c r="BD137" s="37"/>
      <c r="BE137" s="37"/>
      <c r="BF137" s="37"/>
      <c r="BG137" s="42"/>
      <c r="BH137" s="42">
        <v>18.994599999999998</v>
      </c>
      <c r="BI137" s="42"/>
      <c r="BJ137" s="42"/>
      <c r="BK137" s="44">
        <v>18.994599999999998</v>
      </c>
      <c r="BL137" s="44">
        <v>3.78</v>
      </c>
      <c r="BM137" s="44">
        <f>+BK137+BL137</f>
        <v>22.7746</v>
      </c>
      <c r="BN137" s="47">
        <v>130.1</v>
      </c>
      <c r="BO137" s="47">
        <v>25.890410958904109</v>
      </c>
      <c r="BP137" s="45">
        <v>155.99041095890411</v>
      </c>
      <c r="BQ137" s="6">
        <v>146</v>
      </c>
      <c r="BR137" s="4"/>
      <c r="BS137" s="4"/>
      <c r="BT137" s="4"/>
      <c r="BU137" s="4"/>
      <c r="BV137" s="4"/>
      <c r="BW137" s="4"/>
      <c r="BX137" s="4"/>
      <c r="BY137" s="9">
        <f>+INT(BK137*faktorji!$B$4)</f>
        <v>3134</v>
      </c>
      <c r="BZ137" s="9">
        <f>+INT(BL137*faktorji!$B$4)</f>
        <v>623</v>
      </c>
      <c r="CA137" s="4"/>
      <c r="CB137" s="4">
        <v>0</v>
      </c>
      <c r="CC137" s="4">
        <v>0</v>
      </c>
      <c r="CD137" s="4">
        <v>0</v>
      </c>
      <c r="CE137" s="4">
        <v>0</v>
      </c>
      <c r="CF137" s="4">
        <v>1</v>
      </c>
      <c r="CG137" s="4">
        <v>1</v>
      </c>
      <c r="CH137" s="4">
        <v>1</v>
      </c>
      <c r="CI137" s="9">
        <f>+BQ137*(CB137*faktorji!$B$21+'MOL_tabela rezultatov'!CF115*faktorji!$B$23+'MOL_tabela rezultatov'!CH115*faktorji!$B$26)+faktorji!$B$27*CG137</f>
        <v>20409</v>
      </c>
      <c r="CJ137" s="9">
        <f>+(BZ137*CF137*faktorji!$B$18)+(CG137*faktorji!$B$17*('MOL_tabela rezultatov'!BY115+'MOL_tabela rezultatov'!BZ115))+('MOL_tabela rezultatov'!CH115*faktorji!$B$16*'MOL_tabela rezultatov'!BY115)+('MOL_tabela rezultatov'!CB115*faktorji!$B$12*'MOL_tabela rezultatov'!BY115)</f>
        <v>685.55</v>
      </c>
      <c r="CK137" s="66">
        <f>+CI137/CJ137</f>
        <v>29.770257457515864</v>
      </c>
      <c r="CL137" s="3" t="str">
        <f>CONCATENATE(IF(CB137&gt;0,"kotlovnica/toplotna postaja, ",""),IF(CF137&gt;0,"razsvetljava, ",""),IF(CG137&gt;0,"energetsko upravljanje, ",""),IF(CH137&gt;0,"manjši investicijski in organizacijski ukrepi, ",""))</f>
        <v xml:space="preserve">razsvetljava, energetsko upravljanje, manjši investicijski in organizacijski ukrepi, </v>
      </c>
      <c r="CM137" s="9">
        <f>+CJ137*0.9</f>
        <v>616.995</v>
      </c>
      <c r="CN137" s="9">
        <f>+CJ137*0.9</f>
        <v>616.995</v>
      </c>
      <c r="CO137" s="9">
        <f>+CJ137*0.9</f>
        <v>616.995</v>
      </c>
      <c r="CP137" s="69">
        <f>+IF(CI137-SUM(CM137:CO137)&lt;0,0,CI137-SUM(CM137:CO137))</f>
        <v>18558.014999999999</v>
      </c>
      <c r="CQ137" s="9">
        <f>+(BQ137*CE137*faktorji!$B$24)+(BQ137^0.5*CC137*4*4*0.66*faktorji!$B$22)+(BQ137^0.5*CD137*4*4*0.33*faktorji!$B$25)</f>
        <v>0</v>
      </c>
      <c r="CR137" s="3" t="str">
        <f t="shared" si="97"/>
        <v/>
      </c>
      <c r="CS137" s="9">
        <f>+BQ137*('MOL_tabela rezultatov'!CH137*faktorji!$B$26)+faktorji!$B$27*CG137</f>
        <v>18219</v>
      </c>
      <c r="CT137" s="3" t="str">
        <f t="shared" si="95"/>
        <v xml:space="preserve">energetsko upravljanje, manjši investicijski in organizacijski ukrepi, </v>
      </c>
      <c r="CU137" s="9">
        <f t="shared" si="62"/>
        <v>4554.75</v>
      </c>
      <c r="CV137" s="9">
        <f t="shared" ref="CV137:CX137" si="111">+CU137</f>
        <v>4554.75</v>
      </c>
      <c r="CW137" s="9">
        <f t="shared" si="111"/>
        <v>4554.75</v>
      </c>
      <c r="CX137" s="69">
        <f t="shared" si="111"/>
        <v>4554.75</v>
      </c>
    </row>
    <row r="138" spans="1:102" s="10" customFormat="1" ht="18" hidden="1" customHeight="1">
      <c r="A138" s="53" t="s">
        <v>511</v>
      </c>
      <c r="B138" s="2" t="s">
        <v>512</v>
      </c>
      <c r="C138" s="57"/>
      <c r="D138" s="57"/>
      <c r="E138" s="51" t="s">
        <v>1175</v>
      </c>
      <c r="F138" s="51"/>
      <c r="G138" s="51">
        <v>3</v>
      </c>
      <c r="H138" s="51"/>
      <c r="I138" s="51"/>
      <c r="J138" s="51">
        <v>7</v>
      </c>
      <c r="K138" s="37" t="s">
        <v>1243</v>
      </c>
      <c r="L138" s="50"/>
      <c r="M138" s="4" t="s">
        <v>6</v>
      </c>
      <c r="N138" s="25"/>
      <c r="O138" s="25">
        <v>564.5</v>
      </c>
      <c r="P138" s="25"/>
      <c r="Q138" s="25"/>
      <c r="R138" s="25"/>
      <c r="S138" s="25"/>
      <c r="T138" s="25">
        <v>93.23</v>
      </c>
      <c r="U138" s="25">
        <v>657.73</v>
      </c>
      <c r="V138" s="30">
        <v>26.18084807638304</v>
      </c>
      <c r="W138" s="30">
        <v>158.52288682954227</v>
      </c>
      <c r="X138" s="31"/>
      <c r="Y138" s="31"/>
      <c r="Z138" s="31"/>
      <c r="AA138" s="31"/>
      <c r="AB138" s="31"/>
      <c r="AC138" s="31"/>
      <c r="AD138" s="31"/>
      <c r="AE138" s="32"/>
      <c r="AF138" s="16" t="s">
        <v>513</v>
      </c>
      <c r="AG138" s="3" t="s">
        <v>514</v>
      </c>
      <c r="AH138" s="4"/>
      <c r="AI138" s="6">
        <v>3561</v>
      </c>
      <c r="AJ138" s="38">
        <v>100</v>
      </c>
      <c r="AK138" s="3"/>
      <c r="AL138" s="1" t="s">
        <v>421</v>
      </c>
      <c r="AM138" s="37"/>
      <c r="AN138" s="37"/>
      <c r="AO138" s="37"/>
      <c r="AP138" s="37"/>
      <c r="AQ138" s="37">
        <f>(48891*9.5)/1000</f>
        <v>464.46449999999999</v>
      </c>
      <c r="AR138" s="37">
        <f>(87439*9.5)/1000</f>
        <v>830.67049999999995</v>
      </c>
      <c r="AS138" s="37">
        <f>(85000*9.5)/1000</f>
        <v>807.5</v>
      </c>
      <c r="AT138" s="37">
        <f>(87000*9.5)/1000</f>
        <v>826.5</v>
      </c>
      <c r="AU138" s="37"/>
      <c r="AV138" s="37"/>
      <c r="AW138" s="37"/>
      <c r="AX138" s="37"/>
      <c r="AY138" s="37"/>
      <c r="AZ138" s="37"/>
      <c r="BA138" s="37"/>
      <c r="BB138" s="37"/>
      <c r="BC138" s="37">
        <v>170</v>
      </c>
      <c r="BD138" s="37">
        <v>165</v>
      </c>
      <c r="BE138" s="37">
        <v>160</v>
      </c>
      <c r="BF138" s="37">
        <v>159</v>
      </c>
      <c r="BG138" s="42"/>
      <c r="BH138" s="42">
        <v>732.28375000000005</v>
      </c>
      <c r="BI138" s="42"/>
      <c r="BJ138" s="42"/>
      <c r="BK138" s="44">
        <v>732.28375000000005</v>
      </c>
      <c r="BL138" s="44">
        <v>163.5</v>
      </c>
      <c r="BM138" s="44">
        <f>+BK138+BL138</f>
        <v>895.78375000000005</v>
      </c>
      <c r="BN138" s="47">
        <v>91.535468750000007</v>
      </c>
      <c r="BO138" s="47">
        <v>20.4375</v>
      </c>
      <c r="BP138" s="45">
        <v>111.97296875000001</v>
      </c>
      <c r="BQ138" s="9">
        <v>8000</v>
      </c>
      <c r="BR138" s="4" t="s">
        <v>1037</v>
      </c>
      <c r="BS138" s="4">
        <v>1995</v>
      </c>
      <c r="BT138" s="1" t="s">
        <v>1040</v>
      </c>
      <c r="BU138" s="4" t="s">
        <v>136</v>
      </c>
      <c r="BV138" s="4"/>
      <c r="BW138" s="4"/>
      <c r="BX138" s="4"/>
      <c r="BY138" s="9">
        <f>+INT(BK138*faktorji!$B$5)</f>
        <v>69566</v>
      </c>
      <c r="BZ138" s="9">
        <f>+INT(BL138*faktorji!$B$4)</f>
        <v>26977</v>
      </c>
      <c r="CA138" s="4"/>
      <c r="CB138" s="4">
        <v>1</v>
      </c>
      <c r="CC138" s="4">
        <v>0</v>
      </c>
      <c r="CD138" s="4">
        <v>0</v>
      </c>
      <c r="CE138" s="4">
        <v>0</v>
      </c>
      <c r="CF138" s="4">
        <v>0</v>
      </c>
      <c r="CG138" s="4">
        <v>1</v>
      </c>
      <c r="CH138" s="4">
        <v>1</v>
      </c>
      <c r="CI138" s="9">
        <f>+BQ138*(CB138*faktorji!$B$21+'MOL_tabela rezultatov'!CF197*faktorji!$B$23+'MOL_tabela rezultatov'!CH197*faktorji!$B$26)+faktorji!$B$27*CG138</f>
        <v>258000</v>
      </c>
      <c r="CJ138" s="9">
        <f>+(BZ138*CF138*faktorji!$B$18)+(CG138*faktorji!$B$17*('MOL_tabela rezultatov'!BY197+'MOL_tabela rezultatov'!BZ197))+('MOL_tabela rezultatov'!CH197*faktorji!$B$16*'MOL_tabela rezultatov'!BY197)+('MOL_tabela rezultatov'!CB197*faktorji!$B$12*'MOL_tabela rezultatov'!BY197)</f>
        <v>5495.1</v>
      </c>
      <c r="CK138" s="66">
        <f>+CI138/CJ138</f>
        <v>46.950919910465686</v>
      </c>
      <c r="CL138" s="3" t="str">
        <f>CONCATENATE(IF(CB138&gt;0,"kotlovnica/toplotna postaja, ",""),IF(CF138&gt;0,"razsvetljava, ",""),IF(CG138&gt;0,"energetsko upravljanje, ",""),IF(CH138&gt;0,"manjši investicijski in organizacijski ukrepi, ",""))</f>
        <v xml:space="preserve">kotlovnica/toplotna postaja, energetsko upravljanje, manjši investicijski in organizacijski ukrepi, </v>
      </c>
      <c r="CM138" s="9">
        <f>+CJ138*0.9</f>
        <v>4945.59</v>
      </c>
      <c r="CN138" s="9">
        <f>+CJ138*0.9</f>
        <v>4945.59</v>
      </c>
      <c r="CO138" s="9">
        <f>+CJ138*0.9</f>
        <v>4945.59</v>
      </c>
      <c r="CP138" s="69">
        <f>+IF(CI138-SUM(CM138:CO138)&lt;0,0,CI138-SUM(CM138:CO138))</f>
        <v>243163.23</v>
      </c>
      <c r="CQ138" s="9">
        <f>+(BQ138*CE138*faktorji!$B$24)+(BQ138^0.5*CC138*4*4*0.66*faktorji!$B$22)+(BQ138^0.5*CD138*4*4*0.33*faktorji!$B$25)</f>
        <v>0</v>
      </c>
      <c r="CR138" s="3" t="str">
        <f t="shared" si="97"/>
        <v/>
      </c>
      <c r="CS138" s="9">
        <f>+BQ138*('MOL_tabela rezultatov'!CH138*faktorji!$B$26)+faktorji!$B$27*CG138</f>
        <v>30000</v>
      </c>
      <c r="CT138" s="3" t="str">
        <f t="shared" si="95"/>
        <v xml:space="preserve">energetsko upravljanje, manjši investicijski in organizacijski ukrepi, </v>
      </c>
      <c r="CU138" s="9">
        <f t="shared" si="62"/>
        <v>7500</v>
      </c>
      <c r="CV138" s="9">
        <f t="shared" ref="CV138:CX138" si="112">+CU138</f>
        <v>7500</v>
      </c>
      <c r="CW138" s="9">
        <f t="shared" si="112"/>
        <v>7500</v>
      </c>
      <c r="CX138" s="69">
        <f t="shared" si="112"/>
        <v>7500</v>
      </c>
    </row>
    <row r="139" spans="1:102" s="10" customFormat="1" ht="18" hidden="1" customHeight="1">
      <c r="A139" s="53" t="s">
        <v>311</v>
      </c>
      <c r="B139" s="2" t="s">
        <v>312</v>
      </c>
      <c r="C139" s="57"/>
      <c r="D139" s="57"/>
      <c r="E139" s="51" t="s">
        <v>1174</v>
      </c>
      <c r="F139" s="51"/>
      <c r="G139" s="51">
        <v>4</v>
      </c>
      <c r="H139" s="51"/>
      <c r="I139" s="51"/>
      <c r="J139" s="51">
        <v>7</v>
      </c>
      <c r="K139" s="37" t="s">
        <v>1244</v>
      </c>
      <c r="L139" s="50"/>
      <c r="M139" s="4" t="s">
        <v>5</v>
      </c>
      <c r="N139" s="25">
        <v>40.07</v>
      </c>
      <c r="O139" s="25"/>
      <c r="P139" s="25"/>
      <c r="Q139" s="25"/>
      <c r="R139" s="25"/>
      <c r="S139" s="25"/>
      <c r="T139" s="25">
        <v>5.74</v>
      </c>
      <c r="U139" s="25">
        <v>45.81</v>
      </c>
      <c r="V139" s="30">
        <v>28.7</v>
      </c>
      <c r="W139" s="30">
        <v>200.35</v>
      </c>
      <c r="X139" s="31"/>
      <c r="Y139" s="31"/>
      <c r="Z139" s="31"/>
      <c r="AA139" s="31"/>
      <c r="AB139" s="31"/>
      <c r="AC139" s="31"/>
      <c r="AD139" s="31"/>
      <c r="AE139" s="32">
        <v>0</v>
      </c>
      <c r="AF139" s="1"/>
      <c r="AG139" s="4"/>
      <c r="AH139" s="4"/>
      <c r="AI139" s="6">
        <v>200</v>
      </c>
      <c r="AJ139" s="38">
        <v>100</v>
      </c>
      <c r="AK139" s="3" t="s">
        <v>313</v>
      </c>
      <c r="AL139" s="1" t="s">
        <v>127</v>
      </c>
      <c r="AM139" s="37"/>
      <c r="AN139" s="37"/>
      <c r="AO139" s="37"/>
      <c r="AP139" s="37"/>
      <c r="AQ139" s="37"/>
      <c r="AR139" s="37"/>
      <c r="AS139" s="37"/>
      <c r="AT139" s="37"/>
      <c r="AU139" s="37"/>
      <c r="AV139" s="37"/>
      <c r="AW139" s="37"/>
      <c r="AX139" s="37"/>
      <c r="AY139" s="37"/>
      <c r="AZ139" s="37"/>
      <c r="BA139" s="37"/>
      <c r="BB139" s="37"/>
      <c r="BC139" s="37"/>
      <c r="BD139" s="37"/>
      <c r="BE139" s="37"/>
      <c r="BF139" s="37"/>
      <c r="BG139" s="42">
        <v>44.56</v>
      </c>
      <c r="BH139" s="42"/>
      <c r="BI139" s="42"/>
      <c r="BJ139" s="42"/>
      <c r="BK139" s="44">
        <v>44.56</v>
      </c>
      <c r="BL139" s="44">
        <v>5.74</v>
      </c>
      <c r="BM139" s="44">
        <f>+BK139+BL139</f>
        <v>50.300000000000004</v>
      </c>
      <c r="BN139" s="47">
        <v>222.8</v>
      </c>
      <c r="BO139" s="47">
        <v>28.7</v>
      </c>
      <c r="BP139" s="45">
        <v>251.50000000000003</v>
      </c>
      <c r="BQ139" s="6">
        <v>200</v>
      </c>
      <c r="BR139" s="4"/>
      <c r="BS139" s="4"/>
      <c r="BT139" s="4"/>
      <c r="BU139" s="4"/>
      <c r="BV139" s="4"/>
      <c r="BW139" s="4"/>
      <c r="BX139" s="4"/>
      <c r="BY139" s="9">
        <f>+INT(BK139*faktorji!$B$3)</f>
        <v>2896</v>
      </c>
      <c r="BZ139" s="9">
        <f>+INT(BL139*faktorji!$B$4)</f>
        <v>947</v>
      </c>
      <c r="CA139" s="4"/>
      <c r="CB139" s="4">
        <v>0</v>
      </c>
      <c r="CC139" s="4">
        <v>0</v>
      </c>
      <c r="CD139" s="4">
        <v>0</v>
      </c>
      <c r="CE139" s="4">
        <v>0</v>
      </c>
      <c r="CF139" s="4">
        <v>1</v>
      </c>
      <c r="CG139" s="4">
        <v>1</v>
      </c>
      <c r="CH139" s="4">
        <v>1</v>
      </c>
      <c r="CI139" s="9">
        <f>+BQ139*(CB139*faktorji!$B$21+'MOL_tabela rezultatov'!CF123*faktorji!$B$23+'MOL_tabela rezultatov'!CH123*faktorji!$B$26)+faktorji!$B$27*CG139</f>
        <v>18000</v>
      </c>
      <c r="CJ139" s="9">
        <f>+(BZ139*CF139*faktorji!$B$18)+(CG139*faktorji!$B$17*('MOL_tabela rezultatov'!BY123+'MOL_tabela rezultatov'!BZ123))+('MOL_tabela rezultatov'!CH123*faktorji!$B$16*'MOL_tabela rezultatov'!BY123)+('MOL_tabela rezultatov'!CB123*faktorji!$B$12*'MOL_tabela rezultatov'!BY123)</f>
        <v>2150.8500000000004</v>
      </c>
      <c r="CK139" s="66">
        <f>+CI139/CJ139</f>
        <v>8.3687844340609505</v>
      </c>
      <c r="CL139" s="3" t="str">
        <f>CONCATENATE(IF(CB139&gt;0,"kotlovnica/toplotna postaja, ",""),IF(CF139&gt;0,"razsvetljava, ",""),IF(CG139&gt;0,"energetsko upravljanje, ",""),IF(CH139&gt;0,"manjši investicijski in organizacijski ukrepi, ",""))</f>
        <v xml:space="preserve">razsvetljava, energetsko upravljanje, manjši investicijski in organizacijski ukrepi, </v>
      </c>
      <c r="CM139" s="9">
        <f>+CJ139*0.9</f>
        <v>1935.7650000000003</v>
      </c>
      <c r="CN139" s="9">
        <f>+CJ139*0.9</f>
        <v>1935.7650000000003</v>
      </c>
      <c r="CO139" s="9">
        <f>+CJ139*0.9</f>
        <v>1935.7650000000003</v>
      </c>
      <c r="CP139" s="69">
        <f>+IF(CI139-SUM(CM139:CO139)&lt;0,0,CI139-SUM(CM139:CO139))</f>
        <v>12192.704999999998</v>
      </c>
      <c r="CQ139" s="9">
        <f>+(BQ139*CE139*faktorji!$B$24)+(BQ139^0.5*CC139*4*4*0.66*faktorji!$B$22)+(BQ139^0.5*CD139*4*4*0.33*faktorji!$B$25)</f>
        <v>0</v>
      </c>
      <c r="CR139" s="3" t="str">
        <f t="shared" si="97"/>
        <v/>
      </c>
      <c r="CS139" s="9">
        <f>+BQ139*('MOL_tabela rezultatov'!CH139*faktorji!$B$26)+faktorji!$B$27*CG139</f>
        <v>18300</v>
      </c>
      <c r="CT139" s="3" t="str">
        <f t="shared" si="95"/>
        <v xml:space="preserve">energetsko upravljanje, manjši investicijski in organizacijski ukrepi, </v>
      </c>
      <c r="CU139" s="9">
        <f t="shared" si="62"/>
        <v>4575</v>
      </c>
      <c r="CV139" s="9">
        <f t="shared" ref="CV139:CX139" si="113">+CU139</f>
        <v>4575</v>
      </c>
      <c r="CW139" s="9">
        <f t="shared" si="113"/>
        <v>4575</v>
      </c>
      <c r="CX139" s="69">
        <f t="shared" si="113"/>
        <v>4575</v>
      </c>
    </row>
    <row r="140" spans="1:102" s="10" customFormat="1" ht="18" customHeight="1">
      <c r="A140" s="118" t="s">
        <v>332</v>
      </c>
      <c r="B140" s="147" t="s">
        <v>333</v>
      </c>
      <c r="C140" s="56"/>
      <c r="D140" s="56"/>
      <c r="E140" s="51" t="s">
        <v>331</v>
      </c>
      <c r="F140" s="51" t="s">
        <v>1255</v>
      </c>
      <c r="G140" s="51">
        <v>2</v>
      </c>
      <c r="H140" s="51" t="s">
        <v>1255</v>
      </c>
      <c r="I140" s="51"/>
      <c r="J140" s="51">
        <v>5</v>
      </c>
      <c r="K140" s="37" t="s">
        <v>1244</v>
      </c>
      <c r="L140" s="50"/>
      <c r="M140" s="4" t="s">
        <v>5</v>
      </c>
      <c r="N140" s="25">
        <v>2235</v>
      </c>
      <c r="O140" s="25"/>
      <c r="P140" s="25"/>
      <c r="Q140" s="25">
        <v>5.4</v>
      </c>
      <c r="R140" s="25"/>
      <c r="S140" s="25"/>
      <c r="T140" s="25">
        <v>1719.3</v>
      </c>
      <c r="U140" s="25">
        <v>3954.3</v>
      </c>
      <c r="V140" s="30">
        <v>159.19444444444446</v>
      </c>
      <c r="W140" s="30">
        <v>207.44444444444446</v>
      </c>
      <c r="X140" s="31">
        <v>2210</v>
      </c>
      <c r="Y140" s="31"/>
      <c r="Z140" s="31"/>
      <c r="AA140" s="31">
        <v>5.4</v>
      </c>
      <c r="AB140" s="31"/>
      <c r="AC140" s="31">
        <v>1831.1</v>
      </c>
      <c r="AD140" s="31"/>
      <c r="AE140" s="32">
        <v>205.12962962962962</v>
      </c>
      <c r="AF140" s="1" t="s">
        <v>334</v>
      </c>
      <c r="AG140" s="4" t="s">
        <v>335</v>
      </c>
      <c r="AH140" s="4"/>
      <c r="AI140" s="6">
        <v>10800</v>
      </c>
      <c r="AJ140" s="38">
        <v>100</v>
      </c>
      <c r="AK140" s="3"/>
      <c r="AL140" s="1"/>
      <c r="AM140" s="37"/>
      <c r="AN140" s="37"/>
      <c r="AO140" s="37"/>
      <c r="AP140" s="37"/>
      <c r="AQ140" s="37"/>
      <c r="AR140" s="37"/>
      <c r="AS140" s="37"/>
      <c r="AT140" s="37"/>
      <c r="AU140" s="37"/>
      <c r="AV140" s="37"/>
      <c r="AW140" s="37"/>
      <c r="AX140" s="37"/>
      <c r="AY140" s="37"/>
      <c r="AZ140" s="37"/>
      <c r="BA140" s="37"/>
      <c r="BB140" s="37"/>
      <c r="BC140" s="37"/>
      <c r="BD140" s="37"/>
      <c r="BE140" s="37"/>
      <c r="BF140" s="37"/>
      <c r="BG140" s="42">
        <v>2372</v>
      </c>
      <c r="BH140" s="42"/>
      <c r="BI140" s="42"/>
      <c r="BJ140" s="42"/>
      <c r="BK140" s="44">
        <v>2372</v>
      </c>
      <c r="BL140" s="44">
        <v>2520</v>
      </c>
      <c r="BM140" s="44">
        <f>+BK140+BL140</f>
        <v>4892</v>
      </c>
      <c r="BN140" s="47">
        <v>294.58519622454048</v>
      </c>
      <c r="BO140" s="47">
        <v>312.96572280178839</v>
      </c>
      <c r="BP140" s="45">
        <v>607.55091902632887</v>
      </c>
      <c r="BQ140" s="9">
        <v>8052</v>
      </c>
      <c r="BR140" s="4"/>
      <c r="BS140" s="4"/>
      <c r="BT140" s="4"/>
      <c r="BU140" s="4">
        <v>640</v>
      </c>
      <c r="BV140" s="4"/>
      <c r="BW140" s="4"/>
      <c r="BX140" s="4"/>
      <c r="BY140" s="9">
        <f>+INT(BK140*faktorji!$B$3)</f>
        <v>154180</v>
      </c>
      <c r="BZ140" s="9">
        <f>+INT(BL140*faktorji!$B$4)</f>
        <v>415800</v>
      </c>
      <c r="CA140" s="72" t="s">
        <v>1302</v>
      </c>
      <c r="CB140" s="4">
        <v>1</v>
      </c>
      <c r="CC140" s="4">
        <v>0</v>
      </c>
      <c r="CD140" s="4">
        <v>0</v>
      </c>
      <c r="CE140" s="4">
        <v>0</v>
      </c>
      <c r="CF140" s="4">
        <v>1</v>
      </c>
      <c r="CG140" s="4">
        <v>1</v>
      </c>
      <c r="CH140" s="4">
        <v>1</v>
      </c>
      <c r="CI140" s="9">
        <f>+BQ140*(CB140*faktorji!$B$21+'MOL_tabela rezultatov'!CF133*faktorji!$B$23+'MOL_tabela rezultatov'!CH133*faktorji!$B$26)+faktorji!$B$27*CG140</f>
        <v>259560</v>
      </c>
      <c r="CJ140" s="9">
        <f>+(BZ140*CF140*faktorji!$B$18)+(CG140*faktorji!$B$17*('MOL_tabela rezultatov'!BY133+'MOL_tabela rezultatov'!BZ133))+('MOL_tabela rezultatov'!CH133*faktorji!$B$16*'MOL_tabela rezultatov'!BY133)+('MOL_tabela rezultatov'!CB133*faktorji!$B$12*'MOL_tabela rezultatov'!BY133)</f>
        <v>127217.79999999999</v>
      </c>
      <c r="CK140" s="66">
        <f>+CI140/CJ140</f>
        <v>2.04028052678163</v>
      </c>
      <c r="CL140" s="3" t="str">
        <f>CONCATENATE(IF(CB140&gt;0,"kotlovnica/toplotna postaja, ",""),IF(CF140&gt;0,"razsvetljava, ",""),IF(CG140&gt;0,"energetsko upravljanje, ",""),IF(CH140&gt;0,"manjši investicijski in organizacijski ukrepi, ",""))</f>
        <v xml:space="preserve">kotlovnica/toplotna postaja, razsvetljava, energetsko upravljanje, manjši investicijski in organizacijski ukrepi, </v>
      </c>
      <c r="CM140" s="9">
        <f>+CJ140*0.9</f>
        <v>114496.01999999999</v>
      </c>
      <c r="CN140" s="9">
        <f>+CJ140*0.9</f>
        <v>114496.01999999999</v>
      </c>
      <c r="CO140" s="9">
        <f>+CJ140*0.9</f>
        <v>114496.01999999999</v>
      </c>
      <c r="CP140" s="69">
        <f>+IF(CI140-SUM(CM140:CO140)&lt;0,0,CI140-SUM(CM140:CO140))</f>
        <v>0</v>
      </c>
      <c r="CQ140" s="9">
        <f>+(BQ140*CE140*faktorji!$B$24)+(BQ140^0.5*CC140*4*4*0.66*faktorji!$B$22)+(BQ140^0.5*CD140*4*4*0.33*faktorji!$B$25)</f>
        <v>0</v>
      </c>
      <c r="CR140" s="3" t="str">
        <f t="shared" si="97"/>
        <v/>
      </c>
      <c r="CS140" s="9">
        <f>+BQ140*('MOL_tabela rezultatov'!CH140*faktorji!$B$26)+faktorji!$B$27*CG140</f>
        <v>30078</v>
      </c>
      <c r="CT140" s="3" t="str">
        <f t="shared" si="95"/>
        <v xml:space="preserve">energetsko upravljanje, manjši investicijski in organizacijski ukrepi, </v>
      </c>
      <c r="CU140" s="9">
        <f t="shared" si="62"/>
        <v>7519.5</v>
      </c>
      <c r="CV140" s="9">
        <f t="shared" ref="CV140:CX140" si="114">+CU140</f>
        <v>7519.5</v>
      </c>
      <c r="CW140" s="9">
        <f t="shared" si="114"/>
        <v>7519.5</v>
      </c>
      <c r="CX140" s="69">
        <f t="shared" si="114"/>
        <v>7519.5</v>
      </c>
    </row>
    <row r="141" spans="1:102" s="10" customFormat="1" ht="18" hidden="1" customHeight="1">
      <c r="A141" s="54" t="s">
        <v>145</v>
      </c>
      <c r="B141" s="3" t="s">
        <v>146</v>
      </c>
      <c r="C141" s="56"/>
      <c r="D141" s="56"/>
      <c r="E141" s="51" t="s">
        <v>1169</v>
      </c>
      <c r="F141" s="51"/>
      <c r="G141" s="51">
        <v>4</v>
      </c>
      <c r="H141" s="51"/>
      <c r="I141" s="51"/>
      <c r="J141" s="51">
        <v>7</v>
      </c>
      <c r="K141" s="37" t="s">
        <v>1242</v>
      </c>
      <c r="L141" s="50"/>
      <c r="M141" s="5" t="s">
        <v>5</v>
      </c>
      <c r="N141" s="25">
        <v>476.56745614035088</v>
      </c>
      <c r="O141" s="25"/>
      <c r="P141" s="25"/>
      <c r="Q141" s="25"/>
      <c r="R141" s="25"/>
      <c r="S141" s="25"/>
      <c r="T141" s="25">
        <v>187.92745614035087</v>
      </c>
      <c r="U141" s="25">
        <v>664.49491228070178</v>
      </c>
      <c r="V141" s="30">
        <v>45.835964912280701</v>
      </c>
      <c r="W141" s="30">
        <v>116.23596491228071</v>
      </c>
      <c r="X141" s="31"/>
      <c r="Y141" s="31"/>
      <c r="Z141" s="31"/>
      <c r="AA141" s="31"/>
      <c r="AB141" s="31"/>
      <c r="AC141" s="31"/>
      <c r="AD141" s="31"/>
      <c r="AE141" s="32">
        <v>0</v>
      </c>
      <c r="AF141" s="1" t="s">
        <v>1233</v>
      </c>
      <c r="AG141" s="4"/>
      <c r="AH141" s="4"/>
      <c r="AI141" s="6">
        <v>4100</v>
      </c>
      <c r="AJ141" s="38">
        <v>100</v>
      </c>
      <c r="AK141" s="34"/>
      <c r="AL141" s="1" t="s">
        <v>120</v>
      </c>
      <c r="AM141" s="37"/>
      <c r="AN141" s="37"/>
      <c r="AO141" s="37"/>
      <c r="AP141" s="37"/>
      <c r="AQ141" s="37"/>
      <c r="AR141" s="37"/>
      <c r="AS141" s="37"/>
      <c r="AT141" s="37"/>
      <c r="AU141" s="37"/>
      <c r="AV141" s="37"/>
      <c r="AW141" s="37"/>
      <c r="AX141" s="37"/>
      <c r="AY141" s="37"/>
      <c r="AZ141" s="37"/>
      <c r="BA141" s="37"/>
      <c r="BB141" s="37"/>
      <c r="BC141" s="37"/>
      <c r="BD141" s="37"/>
      <c r="BE141" s="37"/>
      <c r="BF141" s="37"/>
      <c r="BG141" s="42">
        <v>542</v>
      </c>
      <c r="BH141" s="42"/>
      <c r="BI141" s="42"/>
      <c r="BJ141" s="42"/>
      <c r="BK141" s="44">
        <v>542</v>
      </c>
      <c r="BL141" s="44">
        <v>491.89199999999994</v>
      </c>
      <c r="BM141" s="44">
        <f>+BK141+BL141</f>
        <v>1033.8919999999998</v>
      </c>
      <c r="BN141" s="47">
        <v>100.93109869646183</v>
      </c>
      <c r="BO141" s="47">
        <v>91.6</v>
      </c>
      <c r="BP141" s="45">
        <v>192.53109869646178</v>
      </c>
      <c r="BQ141" s="9">
        <v>5370</v>
      </c>
      <c r="BR141" s="4">
        <v>444</v>
      </c>
      <c r="BS141" s="4">
        <v>2006</v>
      </c>
      <c r="BT141" s="4" t="s">
        <v>872</v>
      </c>
      <c r="BU141" s="4" t="s">
        <v>119</v>
      </c>
      <c r="BV141" s="4"/>
      <c r="BW141" s="1" t="s">
        <v>1114</v>
      </c>
      <c r="BX141" s="4"/>
      <c r="BY141" s="9">
        <f>+INT(BK141*faktorji!$B$3)</f>
        <v>35230</v>
      </c>
      <c r="BZ141" s="9">
        <f>+INT(BL141*faktorji!$B$4)</f>
        <v>81162</v>
      </c>
      <c r="CA141" s="4"/>
      <c r="CB141" s="4">
        <v>0</v>
      </c>
      <c r="CC141" s="4">
        <v>0</v>
      </c>
      <c r="CD141" s="4">
        <v>0</v>
      </c>
      <c r="CE141" s="4">
        <v>0</v>
      </c>
      <c r="CF141" s="4">
        <v>1</v>
      </c>
      <c r="CG141" s="4">
        <v>1</v>
      </c>
      <c r="CH141" s="4">
        <v>1</v>
      </c>
      <c r="CI141" s="9">
        <f>+BQ141*(CB141*faktorji!$B$21+'MOL_tabela rezultatov'!CF50*faktorji!$B$23+'MOL_tabela rezultatov'!CH50*faktorji!$B$26)+faktorji!$B$27*CG141</f>
        <v>106605</v>
      </c>
      <c r="CJ141" s="9">
        <f>+(BZ141*CF141*faktorji!$B$18)+(CG141*faktorji!$B$17*('MOL_tabela rezultatov'!BY50+'MOL_tabela rezultatov'!BZ50))+('MOL_tabela rezultatov'!CH50*faktorji!$B$16*'MOL_tabela rezultatov'!BY50)+('MOL_tabela rezultatov'!CB50*faktorji!$B$12*'MOL_tabela rezultatov'!BY50)</f>
        <v>16507.3</v>
      </c>
      <c r="CK141" s="66">
        <f>+CI141/CJ141</f>
        <v>6.4580518921931516</v>
      </c>
      <c r="CL141" s="3" t="str">
        <f>CONCATENATE(IF(CB141&gt;0,"kotlovnica/toplotna postaja, ",""),IF(CF141&gt;0,"razsvetljava, ",""),IF(CG141&gt;0,"energetsko upravljanje, ",""),IF(CH141&gt;0,"manjši investicijski in organizacijski ukrepi, ",""))</f>
        <v xml:space="preserve">razsvetljava, energetsko upravljanje, manjši investicijski in organizacijski ukrepi, </v>
      </c>
      <c r="CM141" s="9">
        <f>+CJ141*0.9</f>
        <v>14856.57</v>
      </c>
      <c r="CN141" s="9">
        <f>+CJ141*0.9</f>
        <v>14856.57</v>
      </c>
      <c r="CO141" s="9">
        <f>+CJ141*0.9</f>
        <v>14856.57</v>
      </c>
      <c r="CP141" s="69">
        <f>+IF(CI141-SUM(CM141:CO141)&lt;0,0,CI141-SUM(CM141:CO141))</f>
        <v>62035.29</v>
      </c>
      <c r="CQ141" s="9">
        <f>+(BQ141*CE141*faktorji!$B$24)+(BQ141^0.5*CC141*4*4*0.66*faktorji!$B$22)+(BQ141^0.5*CD141*4*4*0.33*faktorji!$B$25)</f>
        <v>0</v>
      </c>
      <c r="CR141" s="3" t="str">
        <f t="shared" si="97"/>
        <v/>
      </c>
      <c r="CS141" s="9">
        <f>+BQ141*('MOL_tabela rezultatov'!CH141*faktorji!$B$26)+faktorji!$B$27*CG141</f>
        <v>26055</v>
      </c>
      <c r="CT141" s="3" t="str">
        <f t="shared" si="95"/>
        <v xml:space="preserve">energetsko upravljanje, manjši investicijski in organizacijski ukrepi, </v>
      </c>
      <c r="CU141" s="9">
        <f t="shared" si="62"/>
        <v>6513.75</v>
      </c>
      <c r="CV141" s="9">
        <f t="shared" ref="CV141:CX141" si="115">+CU141</f>
        <v>6513.75</v>
      </c>
      <c r="CW141" s="9">
        <f t="shared" si="115"/>
        <v>6513.75</v>
      </c>
      <c r="CX141" s="69">
        <f t="shared" si="115"/>
        <v>6513.75</v>
      </c>
    </row>
    <row r="142" spans="1:102" s="10" customFormat="1" ht="18" hidden="1" customHeight="1">
      <c r="A142" s="54" t="s">
        <v>267</v>
      </c>
      <c r="B142" s="3" t="s">
        <v>268</v>
      </c>
      <c r="C142" s="56"/>
      <c r="D142" s="56"/>
      <c r="E142" s="51" t="s">
        <v>1173</v>
      </c>
      <c r="F142" s="51"/>
      <c r="G142" s="51">
        <v>3</v>
      </c>
      <c r="H142" s="51"/>
      <c r="I142" s="51"/>
      <c r="J142" s="51">
        <v>7</v>
      </c>
      <c r="K142" s="37" t="s">
        <v>1241</v>
      </c>
      <c r="L142" s="50"/>
      <c r="M142" s="4" t="s">
        <v>5</v>
      </c>
      <c r="N142" s="25">
        <v>21.5</v>
      </c>
      <c r="O142" s="25"/>
      <c r="P142" s="25"/>
      <c r="Q142" s="25"/>
      <c r="R142" s="25"/>
      <c r="S142" s="25"/>
      <c r="T142" s="25">
        <v>5.6621012013636571</v>
      </c>
      <c r="U142" s="25">
        <v>27.162101201363658</v>
      </c>
      <c r="V142" s="30">
        <v>26.458416828802136</v>
      </c>
      <c r="W142" s="30">
        <v>100.46728971962617</v>
      </c>
      <c r="X142" s="31"/>
      <c r="Y142" s="31"/>
      <c r="Z142" s="31"/>
      <c r="AA142" s="31"/>
      <c r="AB142" s="31"/>
      <c r="AC142" s="31"/>
      <c r="AD142" s="31"/>
      <c r="AE142" s="32"/>
      <c r="AF142" s="1"/>
      <c r="AG142" s="4"/>
      <c r="AH142" s="4"/>
      <c r="AI142" s="6">
        <v>214</v>
      </c>
      <c r="AJ142" s="38"/>
      <c r="AK142" s="3"/>
      <c r="AL142" s="1"/>
      <c r="AM142" s="37"/>
      <c r="AN142" s="37"/>
      <c r="AO142" s="37"/>
      <c r="AP142" s="37"/>
      <c r="AQ142" s="37"/>
      <c r="AR142" s="37"/>
      <c r="AS142" s="37"/>
      <c r="AT142" s="37"/>
      <c r="AU142" s="37"/>
      <c r="AV142" s="37"/>
      <c r="AW142" s="37"/>
      <c r="AX142" s="37"/>
      <c r="AY142" s="37"/>
      <c r="AZ142" s="37"/>
      <c r="BA142" s="37"/>
      <c r="BB142" s="37"/>
      <c r="BC142" s="37"/>
      <c r="BD142" s="37"/>
      <c r="BE142" s="37"/>
      <c r="BF142" s="37"/>
      <c r="BG142" s="42">
        <v>21.5</v>
      </c>
      <c r="BH142" s="42"/>
      <c r="BI142" s="42"/>
      <c r="BJ142" s="42"/>
      <c r="BK142" s="44">
        <v>21.5</v>
      </c>
      <c r="BL142" s="44">
        <v>67.442399999999992</v>
      </c>
      <c r="BM142" s="44">
        <f>+BK142+BL142</f>
        <v>88.942399999999992</v>
      </c>
      <c r="BN142" s="47">
        <v>13.006654567453115</v>
      </c>
      <c r="BO142" s="47">
        <v>40.799999999999997</v>
      </c>
      <c r="BP142" s="45">
        <v>53.806654567453108</v>
      </c>
      <c r="BQ142" s="9">
        <v>1653</v>
      </c>
      <c r="BR142" s="4"/>
      <c r="BS142" s="4"/>
      <c r="BT142" s="4"/>
      <c r="BU142" s="4"/>
      <c r="BV142" s="4"/>
      <c r="BW142" s="4"/>
      <c r="BX142" s="4"/>
      <c r="BY142" s="9">
        <f>+INT(BK142*faktorji!$B$3)</f>
        <v>1397</v>
      </c>
      <c r="BZ142" s="9">
        <f>+INT(BL142*faktorji!$B$4)</f>
        <v>11127</v>
      </c>
      <c r="CA142" s="4"/>
      <c r="CB142" s="4">
        <v>0</v>
      </c>
      <c r="CC142" s="4">
        <v>0</v>
      </c>
      <c r="CD142" s="4">
        <v>0</v>
      </c>
      <c r="CE142" s="4">
        <v>0</v>
      </c>
      <c r="CF142" s="4">
        <v>1</v>
      </c>
      <c r="CG142" s="4">
        <v>1</v>
      </c>
      <c r="CH142" s="4">
        <v>1</v>
      </c>
      <c r="CI142" s="9">
        <f>+BQ142*(CB142*faktorji!$B$21+'MOL_tabela rezultatov'!CF103*faktorji!$B$23+'MOL_tabela rezultatov'!CH103*faktorji!$B$26)+faktorji!$B$27*CG142</f>
        <v>20479.5</v>
      </c>
      <c r="CJ142" s="9">
        <f>+(BZ142*CF142*faktorji!$B$18)+(CG142*faktorji!$B$17*('MOL_tabela rezultatov'!BY103+'MOL_tabela rezultatov'!BZ103))+('MOL_tabela rezultatov'!CH103*faktorji!$B$16*'MOL_tabela rezultatov'!BY103)+('MOL_tabela rezultatov'!CB103*faktorji!$B$12*'MOL_tabela rezultatov'!BY103)</f>
        <v>2469.0499999999997</v>
      </c>
      <c r="CK142" s="66">
        <f>+CI142/CJ142</f>
        <v>8.2944857333792363</v>
      </c>
      <c r="CL142" s="3" t="str">
        <f>CONCATENATE(IF(CB142&gt;0,"kotlovnica/toplotna postaja, ",""),IF(CF142&gt;0,"razsvetljava, ",""),IF(CG142&gt;0,"energetsko upravljanje, ",""),IF(CH142&gt;0,"manjši investicijski in organizacijski ukrepi, ",""))</f>
        <v xml:space="preserve">razsvetljava, energetsko upravljanje, manjši investicijski in organizacijski ukrepi, </v>
      </c>
      <c r="CM142" s="9">
        <f>+CJ142*0.9</f>
        <v>2222.145</v>
      </c>
      <c r="CN142" s="9">
        <f>+CJ142*0.9</f>
        <v>2222.145</v>
      </c>
      <c r="CO142" s="9">
        <f>+CJ142*0.9</f>
        <v>2222.145</v>
      </c>
      <c r="CP142" s="69">
        <f>+IF(CI142-SUM(CM142:CO142)&lt;0,0,CI142-SUM(CM142:CO142))</f>
        <v>13813.065000000001</v>
      </c>
      <c r="CQ142" s="9">
        <f>+(BQ142*CE142*faktorji!$B$24)+(BQ142^0.5*CC142*4*4*0.66*faktorji!$B$22)+(BQ142^0.5*CD142*4*4*0.33*faktorji!$B$25)</f>
        <v>0</v>
      </c>
      <c r="CR142" s="3" t="str">
        <f t="shared" si="97"/>
        <v/>
      </c>
      <c r="CS142" s="9">
        <f>+BQ142*('MOL_tabela rezultatov'!CH142*faktorji!$B$26)+faktorji!$B$27*CG142</f>
        <v>20479.5</v>
      </c>
      <c r="CT142" s="3" t="str">
        <f t="shared" si="95"/>
        <v xml:space="preserve">energetsko upravljanje, manjši investicijski in organizacijski ukrepi, </v>
      </c>
      <c r="CU142" s="9">
        <f t="shared" si="62"/>
        <v>5119.875</v>
      </c>
      <c r="CV142" s="9">
        <f t="shared" ref="CV142:CX142" si="116">+CU142</f>
        <v>5119.875</v>
      </c>
      <c r="CW142" s="9">
        <f t="shared" si="116"/>
        <v>5119.875</v>
      </c>
      <c r="CX142" s="69">
        <f t="shared" si="116"/>
        <v>5119.875</v>
      </c>
    </row>
    <row r="143" spans="1:102" s="10" customFormat="1" ht="18" hidden="1" customHeight="1">
      <c r="A143" s="53" t="s">
        <v>823</v>
      </c>
      <c r="B143" s="2" t="s">
        <v>824</v>
      </c>
      <c r="C143" s="57"/>
      <c r="D143" s="57"/>
      <c r="E143" s="51" t="s">
        <v>1176</v>
      </c>
      <c r="F143" s="51"/>
      <c r="G143" s="51">
        <v>2</v>
      </c>
      <c r="H143" s="51" t="s">
        <v>1254</v>
      </c>
      <c r="I143" s="51"/>
      <c r="J143" s="51">
        <v>2</v>
      </c>
      <c r="K143" s="37" t="s">
        <v>1243</v>
      </c>
      <c r="L143" s="50"/>
      <c r="M143" s="4" t="s">
        <v>5</v>
      </c>
      <c r="N143" s="28">
        <v>137</v>
      </c>
      <c r="O143" s="25"/>
      <c r="P143" s="25"/>
      <c r="Q143" s="25"/>
      <c r="R143" s="25"/>
      <c r="S143" s="25"/>
      <c r="T143" s="25">
        <v>11.404</v>
      </c>
      <c r="U143" s="25">
        <v>148.404</v>
      </c>
      <c r="V143" s="30">
        <v>8.1225071225071215</v>
      </c>
      <c r="W143" s="30">
        <v>97.578347578347575</v>
      </c>
      <c r="X143" s="31"/>
      <c r="Y143" s="31"/>
      <c r="Z143" s="31"/>
      <c r="AA143" s="31"/>
      <c r="AB143" s="31"/>
      <c r="AC143" s="31"/>
      <c r="AD143" s="31"/>
      <c r="AE143" s="32"/>
      <c r="AF143" s="16" t="s">
        <v>825</v>
      </c>
      <c r="AG143" s="3" t="s">
        <v>472</v>
      </c>
      <c r="AH143" s="4"/>
      <c r="AI143" s="6">
        <v>1404</v>
      </c>
      <c r="AJ143" s="38">
        <v>100</v>
      </c>
      <c r="AK143" s="3"/>
      <c r="AL143" s="1" t="s">
        <v>826</v>
      </c>
      <c r="AM143" s="39">
        <f>65.05+50.5</f>
        <v>115.55</v>
      </c>
      <c r="AN143" s="39">
        <f>73.6+72</f>
        <v>145.6</v>
      </c>
      <c r="AO143" s="39">
        <f>62.9+66.3</f>
        <v>129.19999999999999</v>
      </c>
      <c r="AP143" s="39">
        <f>63.4+64.5</f>
        <v>127.9</v>
      </c>
      <c r="AQ143" s="37"/>
      <c r="AR143" s="37"/>
      <c r="AS143" s="37"/>
      <c r="AT143" s="37"/>
      <c r="AU143" s="37"/>
      <c r="AV143" s="37"/>
      <c r="AW143" s="37"/>
      <c r="AX143" s="37"/>
      <c r="AY143" s="37"/>
      <c r="AZ143" s="37"/>
      <c r="BA143" s="37"/>
      <c r="BB143" s="37"/>
      <c r="BC143" s="37">
        <v>45.3</v>
      </c>
      <c r="BD143" s="37">
        <v>49</v>
      </c>
      <c r="BE143" s="37">
        <v>48.3</v>
      </c>
      <c r="BF143" s="37">
        <v>48.2</v>
      </c>
      <c r="BG143" s="42">
        <v>129.5625</v>
      </c>
      <c r="BH143" s="42"/>
      <c r="BI143" s="42"/>
      <c r="BJ143" s="42"/>
      <c r="BK143" s="44">
        <v>129.5625</v>
      </c>
      <c r="BL143" s="44">
        <v>47.7</v>
      </c>
      <c r="BM143" s="44">
        <f>+BK143+BL143</f>
        <v>177.26249999999999</v>
      </c>
      <c r="BN143" s="47">
        <v>140.52331887201734</v>
      </c>
      <c r="BO143" s="47">
        <v>51.735357917570497</v>
      </c>
      <c r="BP143" s="45">
        <v>192.25867678958787</v>
      </c>
      <c r="BQ143" s="9">
        <v>922</v>
      </c>
      <c r="BR143" s="4"/>
      <c r="BS143" s="4">
        <v>1980</v>
      </c>
      <c r="BT143" s="1" t="s">
        <v>989</v>
      </c>
      <c r="BU143" s="4"/>
      <c r="BV143" s="4" t="s">
        <v>898</v>
      </c>
      <c r="BW143" s="4" t="s">
        <v>990</v>
      </c>
      <c r="BX143" s="4"/>
      <c r="BY143" s="9">
        <f>+INT(BK143*faktorji!$B$3)</f>
        <v>8421</v>
      </c>
      <c r="BZ143" s="9">
        <f>+INT(BL143*faktorji!$B$4)</f>
        <v>7870</v>
      </c>
      <c r="CA143" s="3" t="s">
        <v>1312</v>
      </c>
      <c r="CB143" s="4">
        <v>1</v>
      </c>
      <c r="CC143" s="4">
        <v>1</v>
      </c>
      <c r="CD143" s="4">
        <v>0</v>
      </c>
      <c r="CE143" s="4">
        <v>0</v>
      </c>
      <c r="CF143" s="4">
        <v>0.5</v>
      </c>
      <c r="CG143" s="4">
        <v>1</v>
      </c>
      <c r="CH143" s="4">
        <v>1</v>
      </c>
      <c r="CI143" s="9">
        <f>+BQ143*(CB143*faktorji!$B$21+'MOL_tabela rezultatov'!CF300*faktorji!$B$23+'MOL_tabela rezultatov'!CH300*faktorji!$B$26)+faktorji!$B$27*CG143</f>
        <v>31830</v>
      </c>
      <c r="CJ143" s="9">
        <f>+(BZ143*CF143*faktorji!$B$18)+(CG143*faktorji!$B$17*('MOL_tabela rezultatov'!BY300+'MOL_tabela rezultatov'!BZ300))+('MOL_tabela rezultatov'!CH300*faktorji!$B$16*'MOL_tabela rezultatov'!BY300)+('MOL_tabela rezultatov'!CB300*faktorji!$B$12*'MOL_tabela rezultatov'!BY300)</f>
        <v>590.25</v>
      </c>
      <c r="CK143" s="66">
        <f>+CI143/CJ143</f>
        <v>53.926302414231259</v>
      </c>
      <c r="CL143" s="3" t="str">
        <f>CONCATENATE(IF(CB143&gt;0,"kotlovnica/toplotna postaja, ",""),IF(CF143&gt;0,"razsvetljava, ",""),IF(CG143&gt;0,"energetsko upravljanje, ",""),IF(CH143&gt;0,"manjši investicijski in organizacijski ukrepi, ",""))</f>
        <v xml:space="preserve">kotlovnica/toplotna postaja, razsvetljava, energetsko upravljanje, manjši investicijski in organizacijski ukrepi, </v>
      </c>
      <c r="CM143" s="9">
        <f>+CJ143*0.9</f>
        <v>531.22500000000002</v>
      </c>
      <c r="CN143" s="9">
        <f>+CJ143*0.9</f>
        <v>531.22500000000002</v>
      </c>
      <c r="CO143" s="9">
        <f>+CJ143*0.9</f>
        <v>531.22500000000002</v>
      </c>
      <c r="CP143" s="69">
        <f>+IF(CI143-SUM(CM143:CO143)&lt;0,0,CI143-SUM(CM143:CO143))</f>
        <v>30236.325000000001</v>
      </c>
      <c r="CQ143" s="9">
        <f>+(BQ143*CE143*faktorji!$B$24)+(BQ143^0.5*CC143*4*4*0.66*faktorji!$B$22)+(BQ143^0.5*CD143*4*4*0.33*faktorji!$B$25)</f>
        <v>22445.403584698583</v>
      </c>
      <c r="CR143" s="3" t="str">
        <f t="shared" si="97"/>
        <v xml:space="preserve">izolacija ovoja, </v>
      </c>
      <c r="CS143" s="9">
        <f>+BQ143*('MOL_tabela rezultatov'!CH143*faktorji!$B$26)+faktorji!$B$27*CG143</f>
        <v>19383</v>
      </c>
      <c r="CT143" s="3" t="str">
        <f t="shared" si="95"/>
        <v xml:space="preserve">energetsko upravljanje, manjši investicijski in organizacijski ukrepi, </v>
      </c>
      <c r="CU143" s="9">
        <f t="shared" si="62"/>
        <v>4845.75</v>
      </c>
      <c r="CV143" s="9">
        <f t="shared" ref="CV143:CX143" si="117">+CU143</f>
        <v>4845.75</v>
      </c>
      <c r="CW143" s="9">
        <f t="shared" si="117"/>
        <v>4845.75</v>
      </c>
      <c r="CX143" s="69">
        <f t="shared" si="117"/>
        <v>4845.75</v>
      </c>
    </row>
    <row r="144" spans="1:102" s="10" customFormat="1" ht="18" hidden="1" customHeight="1">
      <c r="A144" s="54" t="s">
        <v>433</v>
      </c>
      <c r="B144" s="3" t="s">
        <v>434</v>
      </c>
      <c r="C144" s="56"/>
      <c r="D144" s="56"/>
      <c r="E144" s="51" t="s">
        <v>1175</v>
      </c>
      <c r="F144" s="51"/>
      <c r="G144" s="51">
        <v>2</v>
      </c>
      <c r="H144" s="51" t="s">
        <v>1249</v>
      </c>
      <c r="I144" s="51"/>
      <c r="J144" s="51">
        <v>2</v>
      </c>
      <c r="K144" s="37" t="s">
        <v>1243</v>
      </c>
      <c r="L144" s="50"/>
      <c r="M144" s="4" t="s">
        <v>5</v>
      </c>
      <c r="N144" s="25">
        <v>594</v>
      </c>
      <c r="O144" s="25"/>
      <c r="P144" s="25"/>
      <c r="Q144" s="25"/>
      <c r="R144" s="25"/>
      <c r="S144" s="25"/>
      <c r="T144" s="25">
        <v>101.1</v>
      </c>
      <c r="U144" s="25">
        <v>695.1</v>
      </c>
      <c r="V144" s="30">
        <v>25.274999999999999</v>
      </c>
      <c r="W144" s="30">
        <v>148.5</v>
      </c>
      <c r="X144" s="31"/>
      <c r="Y144" s="31"/>
      <c r="Z144" s="31"/>
      <c r="AA144" s="31"/>
      <c r="AB144" s="31"/>
      <c r="AC144" s="31"/>
      <c r="AD144" s="31"/>
      <c r="AE144" s="32"/>
      <c r="AF144" s="16"/>
      <c r="AG144" s="3"/>
      <c r="AH144" s="4"/>
      <c r="AI144" s="6">
        <v>4000</v>
      </c>
      <c r="AJ144" s="38">
        <v>100</v>
      </c>
      <c r="AK144" s="3"/>
      <c r="AL144" s="1" t="s">
        <v>421</v>
      </c>
      <c r="AM144" s="37">
        <f>521.35+53.3</f>
        <v>574.65</v>
      </c>
      <c r="AN144" s="37">
        <f>593.63+176.7</f>
        <v>770.32999999999993</v>
      </c>
      <c r="AO144" s="37">
        <f>505.35+425.9</f>
        <v>931.25</v>
      </c>
      <c r="AP144" s="37">
        <f>504.35+405.34</f>
        <v>909.69</v>
      </c>
      <c r="AQ144" s="37">
        <f>(2069.4*9.5)/1000</f>
        <v>19.659299999999998</v>
      </c>
      <c r="AR144" s="37">
        <f>(1755.9*9.5)/1000</f>
        <v>16.681049999999999</v>
      </c>
      <c r="AS144" s="37">
        <f>(1787.4*9.5)/1000</f>
        <v>16.9803</v>
      </c>
      <c r="AT144" s="37">
        <f>(1493.59*9.5)/1000</f>
        <v>14.189105</v>
      </c>
      <c r="AU144" s="37"/>
      <c r="AV144" s="37"/>
      <c r="AW144" s="37"/>
      <c r="AX144" s="37"/>
      <c r="AY144" s="37"/>
      <c r="AZ144" s="37"/>
      <c r="BA144" s="37"/>
      <c r="BB144" s="37"/>
      <c r="BC144" s="37">
        <v>124.4</v>
      </c>
      <c r="BD144" s="37">
        <v>126.8</v>
      </c>
      <c r="BE144" s="37">
        <v>124.9</v>
      </c>
      <c r="BF144" s="37">
        <v>132.19999999999999</v>
      </c>
      <c r="BG144" s="42">
        <v>813.35743875000003</v>
      </c>
      <c r="BH144" s="42">
        <v>16.87743875</v>
      </c>
      <c r="BI144" s="42"/>
      <c r="BJ144" s="42"/>
      <c r="BK144" s="44">
        <v>830.23487750000004</v>
      </c>
      <c r="BL144" s="44">
        <v>127.075</v>
      </c>
      <c r="BM144" s="44">
        <f>+BK144+BL144</f>
        <v>957.30987750000008</v>
      </c>
      <c r="BN144" s="47">
        <v>139.53527352941177</v>
      </c>
      <c r="BO144" s="47">
        <v>21.357142857142858</v>
      </c>
      <c r="BP144" s="45">
        <v>158.05587205882355</v>
      </c>
      <c r="BQ144" s="9">
        <v>5950</v>
      </c>
      <c r="BR144" s="4">
        <v>1217</v>
      </c>
      <c r="BS144" s="4">
        <v>1980</v>
      </c>
      <c r="BT144" s="4" t="s">
        <v>872</v>
      </c>
      <c r="BU144" s="4"/>
      <c r="BV144" s="4" t="s">
        <v>898</v>
      </c>
      <c r="BW144" s="4" t="s">
        <v>874</v>
      </c>
      <c r="BX144" s="4"/>
      <c r="BY144" s="9">
        <f>+INT(BK144*faktorji!$B$3)</f>
        <v>53965</v>
      </c>
      <c r="BZ144" s="9">
        <f>+INT(BL144*faktorji!$B$4)</f>
        <v>20967</v>
      </c>
      <c r="CA144" s="3" t="s">
        <v>1306</v>
      </c>
      <c r="CB144" s="4">
        <v>1</v>
      </c>
      <c r="CC144" s="4">
        <v>1</v>
      </c>
      <c r="CD144" s="4">
        <v>0</v>
      </c>
      <c r="CE144" s="4">
        <v>0</v>
      </c>
      <c r="CF144" s="4">
        <v>1</v>
      </c>
      <c r="CG144" s="4">
        <v>1</v>
      </c>
      <c r="CH144" s="4">
        <v>0</v>
      </c>
      <c r="CI144" s="9">
        <f>+BQ144*(CB144*faktorji!$B$21+'MOL_tabela rezultatov'!CF170*faktorji!$B$23+'MOL_tabela rezultatov'!CH170*faktorji!$B$26)+faktorji!$B$27*CG144</f>
        <v>205425</v>
      </c>
      <c r="CJ144" s="9">
        <f>+(BZ144*CF144*faktorji!$B$18)+(CG144*faktorji!$B$17*('MOL_tabela rezultatov'!BY170+'MOL_tabela rezultatov'!BZ170))+('MOL_tabela rezultatov'!CH170*faktorji!$B$16*'MOL_tabela rezultatov'!BY170)+('MOL_tabela rezultatov'!CB170*faktorji!$B$12*'MOL_tabela rezultatov'!BY170)</f>
        <v>3459.7499999999995</v>
      </c>
      <c r="CK144" s="66">
        <f>+CI144/CJ144</f>
        <v>59.37567743334057</v>
      </c>
      <c r="CL144" s="3" t="str">
        <f>CONCATENATE(IF(CB144&gt;0,"kotlovnica/toplotna postaja, ",""),IF(CF144&gt;0,"razsvetljava, ",""),IF(CG144&gt;0,"energetsko upravljanje, ",""),IF(CH144&gt;0,"manjši investicijski in organizacijski ukrepi, ",""))</f>
        <v xml:space="preserve">kotlovnica/toplotna postaja, razsvetljava, energetsko upravljanje, </v>
      </c>
      <c r="CM144" s="9">
        <f>+CJ144*0.9</f>
        <v>3113.7749999999996</v>
      </c>
      <c r="CN144" s="9">
        <f>+CJ144*0.9</f>
        <v>3113.7749999999996</v>
      </c>
      <c r="CO144" s="9">
        <f>+CJ144*0.9</f>
        <v>3113.7749999999996</v>
      </c>
      <c r="CP144" s="69">
        <f>+IF(CI144-SUM(CM144:CO144)&lt;0,0,CI144-SUM(CM144:CO144))</f>
        <v>196083.67499999999</v>
      </c>
      <c r="CQ144" s="9">
        <f>+(BQ144*CE144*faktorji!$B$24)+(BQ144^0.5*CC144*4*4*0.66*faktorji!$B$22)+(BQ144^0.5*CD144*4*4*0.33*faktorji!$B$25)</f>
        <v>57019.110901521432</v>
      </c>
      <c r="CR144" s="3" t="str">
        <f t="shared" si="97"/>
        <v xml:space="preserve">izolacija ovoja, </v>
      </c>
      <c r="CS144" s="9">
        <f>+BQ144*('MOL_tabela rezultatov'!CH144*faktorji!$B$26)+faktorji!$B$27*CG144</f>
        <v>18000</v>
      </c>
      <c r="CT144" s="3" t="str">
        <f t="shared" si="95"/>
        <v xml:space="preserve">energetsko upravljanje, </v>
      </c>
      <c r="CU144" s="9">
        <f t="shared" si="62"/>
        <v>4500</v>
      </c>
      <c r="CV144" s="9">
        <f t="shared" ref="CV144:CX144" si="118">+CU144</f>
        <v>4500</v>
      </c>
      <c r="CW144" s="9">
        <f t="shared" si="118"/>
        <v>4500</v>
      </c>
      <c r="CX144" s="69">
        <f t="shared" si="118"/>
        <v>4500</v>
      </c>
    </row>
    <row r="145" spans="1:102" s="10" customFormat="1" ht="18" customHeight="1">
      <c r="A145" s="118" t="s">
        <v>364</v>
      </c>
      <c r="B145" s="147" t="s">
        <v>365</v>
      </c>
      <c r="C145" s="56"/>
      <c r="D145" s="56"/>
      <c r="E145" s="51" t="s">
        <v>331</v>
      </c>
      <c r="F145" s="51"/>
      <c r="G145" s="51">
        <v>2</v>
      </c>
      <c r="H145" s="51" t="s">
        <v>1255</v>
      </c>
      <c r="I145" s="51"/>
      <c r="J145" s="51">
        <v>5</v>
      </c>
      <c r="K145" s="37" t="s">
        <v>1244</v>
      </c>
      <c r="L145" s="50"/>
      <c r="M145" s="110" t="s">
        <v>6</v>
      </c>
      <c r="N145" s="25"/>
      <c r="O145" s="25">
        <v>55.41</v>
      </c>
      <c r="P145" s="25"/>
      <c r="Q145" s="25"/>
      <c r="R145" s="25"/>
      <c r="S145" s="25"/>
      <c r="T145" s="25">
        <v>219.4</v>
      </c>
      <c r="U145" s="25">
        <v>274.81</v>
      </c>
      <c r="V145" s="30">
        <v>119.1743617599131</v>
      </c>
      <c r="W145" s="30">
        <v>30.097772949483975</v>
      </c>
      <c r="X145" s="31"/>
      <c r="Y145" s="31"/>
      <c r="Z145" s="31"/>
      <c r="AA145" s="31"/>
      <c r="AB145" s="31"/>
      <c r="AC145" s="31"/>
      <c r="AD145" s="31"/>
      <c r="AE145" s="32">
        <v>0</v>
      </c>
      <c r="AF145" s="1"/>
      <c r="AG145" s="4"/>
      <c r="AH145" s="4"/>
      <c r="AI145" s="6">
        <v>1841</v>
      </c>
      <c r="AJ145" s="38">
        <v>100</v>
      </c>
      <c r="AK145" s="3"/>
      <c r="AL145" s="1"/>
      <c r="AM145" s="37"/>
      <c r="AN145" s="37"/>
      <c r="AO145" s="37"/>
      <c r="AP145" s="37"/>
      <c r="AQ145" s="37"/>
      <c r="AR145" s="37"/>
      <c r="AS145" s="37"/>
      <c r="AT145" s="37"/>
      <c r="AU145" s="37"/>
      <c r="AV145" s="37"/>
      <c r="AW145" s="37"/>
      <c r="AX145" s="37"/>
      <c r="AY145" s="37"/>
      <c r="AZ145" s="37"/>
      <c r="BA145" s="37"/>
      <c r="BB145" s="37"/>
      <c r="BC145" s="37"/>
      <c r="BD145" s="37"/>
      <c r="BE145" s="37"/>
      <c r="BF145" s="37"/>
      <c r="BG145" s="42"/>
      <c r="BH145" s="42">
        <v>1126.0999999999999</v>
      </c>
      <c r="BI145" s="42"/>
      <c r="BJ145" s="42"/>
      <c r="BK145" s="107">
        <v>1126.0999999999999</v>
      </c>
      <c r="BL145" s="107">
        <v>86.49</v>
      </c>
      <c r="BM145" s="107">
        <f>+BK145+BL145</f>
        <v>1212.5899999999999</v>
      </c>
      <c r="BN145" s="108">
        <f>+BK145*1000/BQ145</f>
        <v>611.67843563280826</v>
      </c>
      <c r="BO145" s="108">
        <f>+BL145*1000/BQ145</f>
        <v>46.979902227050516</v>
      </c>
      <c r="BP145" s="109">
        <f>+BO145+BN145</f>
        <v>658.65833785985876</v>
      </c>
      <c r="BQ145" s="106">
        <v>1841</v>
      </c>
      <c r="BR145" s="110">
        <v>2094</v>
      </c>
      <c r="BS145" s="110">
        <v>1980</v>
      </c>
      <c r="BT145" s="4"/>
      <c r="BU145" s="4"/>
      <c r="BV145" s="4"/>
      <c r="BW145" s="4"/>
      <c r="BX145" s="4"/>
      <c r="BY145" s="106">
        <v>7440</v>
      </c>
      <c r="BZ145" s="106">
        <v>16030</v>
      </c>
      <c r="CA145" s="111" t="s">
        <v>1301</v>
      </c>
      <c r="CB145" s="4">
        <v>0</v>
      </c>
      <c r="CC145" s="4">
        <v>0</v>
      </c>
      <c r="CD145" s="4">
        <v>0</v>
      </c>
      <c r="CE145" s="4">
        <v>0</v>
      </c>
      <c r="CF145" s="4">
        <v>1</v>
      </c>
      <c r="CG145" s="4">
        <v>1</v>
      </c>
      <c r="CH145" s="4">
        <v>1</v>
      </c>
      <c r="CI145" s="106">
        <v>191000</v>
      </c>
      <c r="CJ145" s="106">
        <v>11700</v>
      </c>
      <c r="CK145" s="115">
        <f>+CI145/CJ145</f>
        <v>16.324786324786324</v>
      </c>
      <c r="CL145" s="3" t="str">
        <f>CONCATENATE(IF(CB145&gt;0,"kotlovnica/toplotna postaja, ",""),IF(CF145&gt;0,"razsvetljava, ",""),IF(CG145&gt;0,"energetsko upravljanje, ",""),IF(CH145&gt;0,"manjši investicijski in organizacijski ukrepi, ",""))</f>
        <v xml:space="preserve">razsvetljava, energetsko upravljanje, manjši investicijski in organizacijski ukrepi, </v>
      </c>
      <c r="CM145" s="9">
        <f>+CJ145*0.9</f>
        <v>10530</v>
      </c>
      <c r="CN145" s="9">
        <f>+CJ145*0.9</f>
        <v>10530</v>
      </c>
      <c r="CO145" s="9">
        <f>+CJ145*0.9</f>
        <v>10530</v>
      </c>
      <c r="CP145" s="69">
        <f>+IF(CI145-SUM(CM145:CO145)&lt;0,0,CI145-SUM(CM145:CO145))</f>
        <v>159410</v>
      </c>
      <c r="CQ145" s="9">
        <f>+(BQ145*CE145*faktorji!$B$24)+(BQ145^0.5*CC145*4*4*0.66*faktorji!$B$22)+(BQ145^0.5*CD145*4*4*0.33*faktorji!$B$25)</f>
        <v>0</v>
      </c>
      <c r="CR145" s="3" t="str">
        <f t="shared" si="97"/>
        <v/>
      </c>
      <c r="CS145" s="9">
        <f>+BQ145*('MOL_tabela rezultatov'!CH145*faktorji!$B$26)+faktorji!$B$27*CG145</f>
        <v>20761.5</v>
      </c>
      <c r="CT145" s="3" t="str">
        <f t="shared" si="95"/>
        <v xml:space="preserve">energetsko upravljanje, manjši investicijski in organizacijski ukrepi, </v>
      </c>
      <c r="CU145" s="9">
        <f t="shared" si="62"/>
        <v>5190.375</v>
      </c>
      <c r="CV145" s="9">
        <f t="shared" ref="CV145:CX145" si="119">+CU145</f>
        <v>5190.375</v>
      </c>
      <c r="CW145" s="9">
        <f t="shared" si="119"/>
        <v>5190.375</v>
      </c>
      <c r="CX145" s="69">
        <f t="shared" si="119"/>
        <v>5190.375</v>
      </c>
    </row>
    <row r="146" spans="1:102" s="10" customFormat="1" ht="18" hidden="1" customHeight="1">
      <c r="A146" s="53" t="s">
        <v>248</v>
      </c>
      <c r="B146" s="2" t="s">
        <v>251</v>
      </c>
      <c r="C146" s="57"/>
      <c r="D146" s="57"/>
      <c r="E146" s="51" t="s">
        <v>1173</v>
      </c>
      <c r="F146" s="51"/>
      <c r="G146" s="51">
        <v>3</v>
      </c>
      <c r="H146" s="51"/>
      <c r="I146" s="51"/>
      <c r="J146" s="51">
        <v>7</v>
      </c>
      <c r="K146" s="37" t="s">
        <v>1241</v>
      </c>
      <c r="L146" s="50"/>
      <c r="M146" s="4" t="s">
        <v>5</v>
      </c>
      <c r="N146" s="25">
        <v>47.02</v>
      </c>
      <c r="O146" s="25"/>
      <c r="P146" s="25"/>
      <c r="Q146" s="25"/>
      <c r="R146" s="25"/>
      <c r="S146" s="25"/>
      <c r="T146" s="25">
        <v>3.05</v>
      </c>
      <c r="U146" s="25">
        <v>50.07</v>
      </c>
      <c r="V146" s="30">
        <v>18.944099378881987</v>
      </c>
      <c r="W146" s="30">
        <v>292.0496894409938</v>
      </c>
      <c r="X146" s="31">
        <v>49.64</v>
      </c>
      <c r="Y146" s="31"/>
      <c r="Z146" s="31"/>
      <c r="AA146" s="31"/>
      <c r="AB146" s="31"/>
      <c r="AC146" s="31">
        <v>4.62</v>
      </c>
      <c r="AD146" s="31"/>
      <c r="AE146" s="32">
        <v>308.3229813664596</v>
      </c>
      <c r="AF146" s="1"/>
      <c r="AG146" s="4"/>
      <c r="AH146" s="4"/>
      <c r="AI146" s="6">
        <v>161</v>
      </c>
      <c r="AJ146" s="38">
        <v>100</v>
      </c>
      <c r="AK146" s="3"/>
      <c r="AL146" s="1" t="s">
        <v>127</v>
      </c>
      <c r="AM146" s="37"/>
      <c r="AN146" s="37"/>
      <c r="AO146" s="37"/>
      <c r="AP146" s="37"/>
      <c r="AQ146" s="37"/>
      <c r="AR146" s="37"/>
      <c r="AS146" s="37"/>
      <c r="AT146" s="37"/>
      <c r="AU146" s="37"/>
      <c r="AV146" s="37"/>
      <c r="AW146" s="37"/>
      <c r="AX146" s="37"/>
      <c r="AY146" s="37"/>
      <c r="AZ146" s="37"/>
      <c r="BA146" s="37"/>
      <c r="BB146" s="37"/>
      <c r="BC146" s="37"/>
      <c r="BD146" s="37"/>
      <c r="BE146" s="37"/>
      <c r="BF146" s="37"/>
      <c r="BG146" s="42">
        <v>47.02</v>
      </c>
      <c r="BH146" s="42"/>
      <c r="BI146" s="42"/>
      <c r="BJ146" s="42"/>
      <c r="BK146" s="44">
        <v>47.02</v>
      </c>
      <c r="BL146" s="44">
        <v>3.05</v>
      </c>
      <c r="BM146" s="44">
        <f>+BK146+BL146</f>
        <v>50.07</v>
      </c>
      <c r="BN146" s="47">
        <v>292.0496894409938</v>
      </c>
      <c r="BO146" s="47">
        <v>18.944099378881987</v>
      </c>
      <c r="BP146" s="45">
        <v>310.99378881987576</v>
      </c>
      <c r="BQ146" s="9">
        <v>161</v>
      </c>
      <c r="BR146" s="4"/>
      <c r="BS146" s="4"/>
      <c r="BT146" s="4"/>
      <c r="BU146" s="4"/>
      <c r="BV146" s="4"/>
      <c r="BW146" s="4"/>
      <c r="BX146" s="4"/>
      <c r="BY146" s="9">
        <f>+INT(BK146*faktorji!$B$3)</f>
        <v>3056</v>
      </c>
      <c r="BZ146" s="9">
        <f>+INT(BL146*faktorji!$B$4)</f>
        <v>503</v>
      </c>
      <c r="CA146" s="4"/>
      <c r="CB146" s="4">
        <v>0</v>
      </c>
      <c r="CC146" s="4">
        <v>0</v>
      </c>
      <c r="CD146" s="4">
        <v>0</v>
      </c>
      <c r="CE146" s="4">
        <v>0</v>
      </c>
      <c r="CF146" s="4">
        <v>1</v>
      </c>
      <c r="CG146" s="4">
        <v>1</v>
      </c>
      <c r="CH146" s="4">
        <v>1</v>
      </c>
      <c r="CI146" s="9">
        <f>+BQ146*(CB146*faktorji!$B$21+'MOL_tabela rezultatov'!CF89*faktorji!$B$23+'MOL_tabela rezultatov'!CH89*faktorji!$B$26)+faktorji!$B$27*CG146</f>
        <v>18000</v>
      </c>
      <c r="CJ146" s="9">
        <f>+(BZ146*CF146*faktorji!$B$18)+(CG146*faktorji!$B$17*('MOL_tabela rezultatov'!BY89+'MOL_tabela rezultatov'!BZ89))+('MOL_tabela rezultatov'!CH89*faktorji!$B$16*'MOL_tabela rezultatov'!BY89)+('MOL_tabela rezultatov'!CB89*faktorji!$B$12*'MOL_tabela rezultatov'!BY89)</f>
        <v>4354.25</v>
      </c>
      <c r="CK146" s="66">
        <f>+CI146/CJ146</f>
        <v>4.1338921743124537</v>
      </c>
      <c r="CL146" s="3" t="str">
        <f>CONCATENATE(IF(CB146&gt;0,"kotlovnica/toplotna postaja, ",""),IF(CF146&gt;0,"razsvetljava, ",""),IF(CG146&gt;0,"energetsko upravljanje, ",""),IF(CH146&gt;0,"manjši investicijski in organizacijski ukrepi, ",""))</f>
        <v xml:space="preserve">razsvetljava, energetsko upravljanje, manjši investicijski in organizacijski ukrepi, </v>
      </c>
      <c r="CM146" s="9">
        <f>+CJ146*0.9</f>
        <v>3918.8250000000003</v>
      </c>
      <c r="CN146" s="9">
        <f>+CJ146*0.9</f>
        <v>3918.8250000000003</v>
      </c>
      <c r="CO146" s="9">
        <f>+CJ146*0.9</f>
        <v>3918.8250000000003</v>
      </c>
      <c r="CP146" s="69">
        <f>+IF(CI146-SUM(CM146:CO146)&lt;0,0,CI146-SUM(CM146:CO146))</f>
        <v>6243.5249999999996</v>
      </c>
      <c r="CQ146" s="9">
        <f>+(BQ146*CE146*faktorji!$B$24)+(BQ146^0.5*CC146*4*4*0.66*faktorji!$B$22)+(BQ146^0.5*CD146*4*4*0.33*faktorji!$B$25)</f>
        <v>0</v>
      </c>
      <c r="CR146" s="3" t="str">
        <f t="shared" si="97"/>
        <v/>
      </c>
      <c r="CS146" s="9">
        <f>+BQ146*('MOL_tabela rezultatov'!CH146*faktorji!$B$26)+faktorji!$B$27*CG146</f>
        <v>18241.5</v>
      </c>
      <c r="CT146" s="3" t="str">
        <f t="shared" si="95"/>
        <v xml:space="preserve">energetsko upravljanje, manjši investicijski in organizacijski ukrepi, </v>
      </c>
      <c r="CU146" s="9">
        <f t="shared" si="62"/>
        <v>4560.375</v>
      </c>
      <c r="CV146" s="9">
        <f t="shared" ref="CV146:CX146" si="120">+CU146</f>
        <v>4560.375</v>
      </c>
      <c r="CW146" s="9">
        <f t="shared" si="120"/>
        <v>4560.375</v>
      </c>
      <c r="CX146" s="69">
        <f t="shared" si="120"/>
        <v>4560.375</v>
      </c>
    </row>
    <row r="147" spans="1:102" s="10" customFormat="1" ht="18" hidden="1" customHeight="1">
      <c r="A147" s="54" t="s">
        <v>234</v>
      </c>
      <c r="B147" s="3" t="s">
        <v>235</v>
      </c>
      <c r="C147" s="56"/>
      <c r="D147" s="56"/>
      <c r="E147" s="51" t="s">
        <v>1172</v>
      </c>
      <c r="F147" s="51"/>
      <c r="G147" s="51">
        <v>4</v>
      </c>
      <c r="H147" s="51"/>
      <c r="I147" s="51"/>
      <c r="J147" s="51">
        <v>6</v>
      </c>
      <c r="K147" s="37" t="s">
        <v>1243</v>
      </c>
      <c r="L147" s="50"/>
      <c r="M147" s="4" t="s">
        <v>5</v>
      </c>
      <c r="N147" s="25">
        <v>172</v>
      </c>
      <c r="O147" s="25"/>
      <c r="P147" s="25"/>
      <c r="Q147" s="25"/>
      <c r="R147" s="25"/>
      <c r="S147" s="25"/>
      <c r="T147" s="25">
        <v>16</v>
      </c>
      <c r="U147" s="25">
        <v>188</v>
      </c>
      <c r="V147" s="30">
        <v>13.333333333333334</v>
      </c>
      <c r="W147" s="30">
        <v>143.33333333333334</v>
      </c>
      <c r="X147" s="31"/>
      <c r="Y147" s="31"/>
      <c r="Z147" s="31"/>
      <c r="AA147" s="31"/>
      <c r="AB147" s="31"/>
      <c r="AC147" s="31"/>
      <c r="AD147" s="31"/>
      <c r="AE147" s="32"/>
      <c r="AF147" s="1"/>
      <c r="AG147" s="4"/>
      <c r="AH147" s="4"/>
      <c r="AI147" s="6">
        <v>1200</v>
      </c>
      <c r="AJ147" s="38"/>
      <c r="AK147" s="3"/>
      <c r="AL147" s="1"/>
      <c r="AM147" s="37">
        <v>200</v>
      </c>
      <c r="AN147" s="37">
        <v>170</v>
      </c>
      <c r="AO147" s="37">
        <v>151</v>
      </c>
      <c r="AP147" s="37">
        <v>87</v>
      </c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  <c r="BA147" s="37"/>
      <c r="BB147" s="37"/>
      <c r="BC147" s="37">
        <v>120</v>
      </c>
      <c r="BD147" s="37">
        <v>120</v>
      </c>
      <c r="BE147" s="37">
        <v>116</v>
      </c>
      <c r="BF147" s="37">
        <v>112</v>
      </c>
      <c r="BG147" s="42">
        <v>152</v>
      </c>
      <c r="BH147" s="42"/>
      <c r="BI147" s="42"/>
      <c r="BJ147" s="42"/>
      <c r="BK147" s="44">
        <v>152</v>
      </c>
      <c r="BL147" s="44">
        <v>117</v>
      </c>
      <c r="BM147" s="44">
        <f>+BK147+BL147</f>
        <v>269</v>
      </c>
      <c r="BN147" s="47">
        <v>247.15447154471545</v>
      </c>
      <c r="BO147" s="47">
        <v>190.2439024390244</v>
      </c>
      <c r="BP147" s="45">
        <v>437.39837398373982</v>
      </c>
      <c r="BQ147" s="9">
        <v>615</v>
      </c>
      <c r="BR147" s="4" t="s">
        <v>1127</v>
      </c>
      <c r="BS147" s="4">
        <v>2009</v>
      </c>
      <c r="BT147" s="1" t="s">
        <v>1129</v>
      </c>
      <c r="BU147" s="1" t="s">
        <v>1128</v>
      </c>
      <c r="BV147" s="4"/>
      <c r="BW147" s="1" t="s">
        <v>1131</v>
      </c>
      <c r="BX147" s="4"/>
      <c r="BY147" s="9">
        <f>+INT(BK147*faktorji!$B$3)</f>
        <v>9880</v>
      </c>
      <c r="BZ147" s="9">
        <f>+INT(BL147*faktorji!$B$4)</f>
        <v>19305</v>
      </c>
      <c r="CA147" s="4"/>
      <c r="CB147" s="4">
        <v>0</v>
      </c>
      <c r="CC147" s="4">
        <v>0</v>
      </c>
      <c r="CD147" s="4">
        <v>0</v>
      </c>
      <c r="CE147" s="4">
        <v>0</v>
      </c>
      <c r="CF147" s="4">
        <v>1</v>
      </c>
      <c r="CG147" s="4">
        <v>1</v>
      </c>
      <c r="CH147" s="4">
        <v>1</v>
      </c>
      <c r="CI147" s="9">
        <f>+BQ147*(CB147*faktorji!$B$21+'MOL_tabela rezultatov'!CF83*faktorji!$B$23+'MOL_tabela rezultatov'!CH83*faktorji!$B$26)+faktorji!$B$27*CG147</f>
        <v>18922.5</v>
      </c>
      <c r="CJ147" s="9">
        <f>+(BZ147*CF147*faktorji!$B$18)+(CG147*faktorji!$B$17*('MOL_tabela rezultatov'!BY83+'MOL_tabela rezultatov'!BZ83))+('MOL_tabela rezultatov'!CH83*faktorji!$B$16*'MOL_tabela rezultatov'!BY83)+('MOL_tabela rezultatov'!CB83*faktorji!$B$12*'MOL_tabela rezultatov'!BY83)</f>
        <v>5831.75</v>
      </c>
      <c r="CK147" s="66">
        <f>+CI147/CJ147</f>
        <v>3.2447378574184422</v>
      </c>
      <c r="CL147" s="3" t="str">
        <f>CONCATENATE(IF(CB147&gt;0,"kotlovnica/toplotna postaja, ",""),IF(CF147&gt;0,"razsvetljava, ",""),IF(CG147&gt;0,"energetsko upravljanje, ",""),IF(CH147&gt;0,"manjši investicijski in organizacijski ukrepi, ",""))</f>
        <v xml:space="preserve">razsvetljava, energetsko upravljanje, manjši investicijski in organizacijski ukrepi, </v>
      </c>
      <c r="CM147" s="9">
        <f>+CJ147*0.9</f>
        <v>5248.5749999999998</v>
      </c>
      <c r="CN147" s="9">
        <f>+CJ147*0.9</f>
        <v>5248.5749999999998</v>
      </c>
      <c r="CO147" s="9">
        <f>+CJ147*0.9</f>
        <v>5248.5749999999998</v>
      </c>
      <c r="CP147" s="69">
        <f>+IF(CI147-SUM(CM147:CO147)&lt;0,0,CI147-SUM(CM147:CO147))</f>
        <v>3176.7750000000015</v>
      </c>
      <c r="CQ147" s="9">
        <f>+(BQ147*CE147*faktorji!$B$24)+(BQ147^0.5*CC147*4*4*0.66*faktorji!$B$22)+(BQ147^0.5*CD147*4*4*0.33*faktorji!$B$25)</f>
        <v>0</v>
      </c>
      <c r="CR147" s="3" t="str">
        <f t="shared" si="97"/>
        <v/>
      </c>
      <c r="CS147" s="9">
        <f>+BQ147*('MOL_tabela rezultatov'!CH147*faktorji!$B$26)+faktorji!$B$27*CG147</f>
        <v>18922.5</v>
      </c>
      <c r="CT147" s="3" t="str">
        <f t="shared" si="95"/>
        <v xml:space="preserve">energetsko upravljanje, manjši investicijski in organizacijski ukrepi, </v>
      </c>
      <c r="CU147" s="9">
        <f t="shared" si="62"/>
        <v>4730.625</v>
      </c>
      <c r="CV147" s="9">
        <f t="shared" ref="CV147:CX147" si="121">+CU147</f>
        <v>4730.625</v>
      </c>
      <c r="CW147" s="9">
        <f t="shared" si="121"/>
        <v>4730.625</v>
      </c>
      <c r="CX147" s="69">
        <f t="shared" si="121"/>
        <v>4730.625</v>
      </c>
    </row>
    <row r="148" spans="1:102" s="10" customFormat="1" ht="18" hidden="1" customHeight="1">
      <c r="A148" s="54" t="s">
        <v>86</v>
      </c>
      <c r="B148" s="3" t="s">
        <v>87</v>
      </c>
      <c r="C148" s="56"/>
      <c r="D148" s="56"/>
      <c r="E148" s="51" t="s">
        <v>1168</v>
      </c>
      <c r="F148" s="51" t="s">
        <v>1255</v>
      </c>
      <c r="G148" s="51">
        <v>2</v>
      </c>
      <c r="H148" s="51"/>
      <c r="I148" s="51"/>
      <c r="J148" s="51">
        <v>4</v>
      </c>
      <c r="K148" s="37" t="s">
        <v>1244</v>
      </c>
      <c r="L148" s="50"/>
      <c r="M148" s="4" t="s">
        <v>5</v>
      </c>
      <c r="N148" s="25">
        <v>307.83847857014183</v>
      </c>
      <c r="O148" s="25"/>
      <c r="P148" s="25"/>
      <c r="Q148" s="25"/>
      <c r="R148" s="25"/>
      <c r="S148" s="25"/>
      <c r="T148" s="25">
        <v>6.92</v>
      </c>
      <c r="U148" s="25">
        <v>314.75847857014185</v>
      </c>
      <c r="V148" s="30">
        <v>3.7897042716319826</v>
      </c>
      <c r="W148" s="30">
        <v>168.58624237138108</v>
      </c>
      <c r="X148" s="31"/>
      <c r="Y148" s="31"/>
      <c r="Z148" s="31"/>
      <c r="AA148" s="31"/>
      <c r="AB148" s="31"/>
      <c r="AC148" s="31"/>
      <c r="AD148" s="31"/>
      <c r="AE148" s="32">
        <v>0</v>
      </c>
      <c r="AF148" s="1"/>
      <c r="AG148" s="4"/>
      <c r="AH148" s="4" t="s">
        <v>38</v>
      </c>
      <c r="AI148" s="6">
        <v>1826</v>
      </c>
      <c r="AJ148" s="38">
        <v>100</v>
      </c>
      <c r="AK148" s="3" t="s">
        <v>88</v>
      </c>
      <c r="AL148" s="1" t="s">
        <v>89</v>
      </c>
      <c r="AM148" s="37"/>
      <c r="AN148" s="37"/>
      <c r="AO148" s="37"/>
      <c r="AP148" s="37"/>
      <c r="AQ148" s="37"/>
      <c r="AR148" s="37"/>
      <c r="AS148" s="37"/>
      <c r="AT148" s="37"/>
      <c r="AU148" s="37"/>
      <c r="AV148" s="37"/>
      <c r="AW148" s="37"/>
      <c r="AX148" s="37"/>
      <c r="AY148" s="37"/>
      <c r="AZ148" s="37"/>
      <c r="BA148" s="37"/>
      <c r="BB148" s="37"/>
      <c r="BC148" s="37"/>
      <c r="BD148" s="37"/>
      <c r="BE148" s="37"/>
      <c r="BF148" s="37"/>
      <c r="BG148" s="42">
        <v>128.4</v>
      </c>
      <c r="BH148" s="42"/>
      <c r="BI148" s="42"/>
      <c r="BJ148" s="42"/>
      <c r="BK148" s="44">
        <v>128.4</v>
      </c>
      <c r="BL148" s="44">
        <v>6.92</v>
      </c>
      <c r="BM148" s="44">
        <f>+BK148+BL148</f>
        <v>135.32</v>
      </c>
      <c r="BN148" s="47">
        <v>70.317634173055865</v>
      </c>
      <c r="BO148" s="47">
        <v>3.7897042716319826</v>
      </c>
      <c r="BP148" s="45">
        <v>74.107338444687841</v>
      </c>
      <c r="BQ148" s="9">
        <v>1826</v>
      </c>
      <c r="BR148" s="4"/>
      <c r="BS148" s="4"/>
      <c r="BT148" s="4"/>
      <c r="BU148" s="4"/>
      <c r="BV148" s="4"/>
      <c r="BW148" s="4"/>
      <c r="BX148" s="4"/>
      <c r="BY148" s="9">
        <f>+INT(BK148*faktorji!$B$3)</f>
        <v>8346</v>
      </c>
      <c r="BZ148" s="9">
        <f>+INT(BL148*faktorji!$B$4)</f>
        <v>1141</v>
      </c>
      <c r="CA148" s="3" t="s">
        <v>1313</v>
      </c>
      <c r="CB148" s="4">
        <v>0</v>
      </c>
      <c r="CC148" s="4">
        <v>0</v>
      </c>
      <c r="CD148" s="4">
        <v>0</v>
      </c>
      <c r="CE148" s="4">
        <v>0</v>
      </c>
      <c r="CF148" s="4">
        <v>0</v>
      </c>
      <c r="CG148" s="4">
        <v>1</v>
      </c>
      <c r="CH148" s="4">
        <v>1</v>
      </c>
      <c r="CI148" s="9">
        <f>+BQ148*(CB148*faktorji!$B$21+'MOL_tabela rezultatov'!CF27*faktorji!$B$23+'MOL_tabela rezultatov'!CH27*faktorji!$B$26)+faktorji!$B$27*CG148</f>
        <v>48129</v>
      </c>
      <c r="CJ148" s="9">
        <f>+(BZ148*CF148*faktorji!$B$18)+(CG148*faktorji!$B$17*('MOL_tabela rezultatov'!BY27+'MOL_tabela rezultatov'!BZ27))+('MOL_tabela rezultatov'!CH27*faktorji!$B$16*'MOL_tabela rezultatov'!BY27)+('MOL_tabela rezultatov'!CB27*faktorji!$B$12*'MOL_tabela rezultatov'!BY27)</f>
        <v>4406.3</v>
      </c>
      <c r="CK148" s="66">
        <f>+CI148/CJ148</f>
        <v>10.922769670698772</v>
      </c>
      <c r="CL148" s="3" t="str">
        <f>CONCATENATE(IF(CB148&gt;0,"kotlovnica/toplotna postaja, ",""),IF(CF148&gt;0,"razsvetljava, ",""),IF(CG148&gt;0,"energetsko upravljanje, ",""),IF(CH148&gt;0,"manjši investicijski in organizacijski ukrepi, ",""))</f>
        <v xml:space="preserve">energetsko upravljanje, manjši investicijski in organizacijski ukrepi, </v>
      </c>
      <c r="CM148" s="9">
        <f>+CJ148*0.9</f>
        <v>3965.67</v>
      </c>
      <c r="CN148" s="9">
        <f>+CJ148*0.9</f>
        <v>3965.67</v>
      </c>
      <c r="CO148" s="9">
        <f>+CJ148*0.9</f>
        <v>3965.67</v>
      </c>
      <c r="CP148" s="69">
        <f>+IF(CI148-SUM(CM148:CO148)&lt;0,0,CI148-SUM(CM148:CO148))</f>
        <v>36231.99</v>
      </c>
      <c r="CQ148" s="9">
        <f>+(BQ148*CE148*faktorji!$B$24)+(BQ148^0.5*CC148*4*4*0.66*faktorji!$B$22)+(BQ148^0.5*CD148*4*4*0.33*faktorji!$B$25)</f>
        <v>0</v>
      </c>
      <c r="CR148" s="3" t="str">
        <f t="shared" si="97"/>
        <v/>
      </c>
      <c r="CS148" s="9">
        <f>+BQ148*('MOL_tabela rezultatov'!CH148*faktorji!$B$26)+faktorji!$B$27*CG148</f>
        <v>20739</v>
      </c>
      <c r="CT148" s="3" t="str">
        <f t="shared" si="95"/>
        <v xml:space="preserve">energetsko upravljanje, manjši investicijski in organizacijski ukrepi, </v>
      </c>
      <c r="CU148" s="9">
        <f t="shared" si="62"/>
        <v>5184.75</v>
      </c>
      <c r="CV148" s="9">
        <f t="shared" ref="CV148:CX148" si="122">+CU148</f>
        <v>5184.75</v>
      </c>
      <c r="CW148" s="9">
        <f t="shared" si="122"/>
        <v>5184.75</v>
      </c>
      <c r="CX148" s="69">
        <f t="shared" si="122"/>
        <v>5184.75</v>
      </c>
    </row>
    <row r="149" spans="1:102" s="10" customFormat="1" ht="18" hidden="1" customHeight="1">
      <c r="A149" s="53" t="s">
        <v>460</v>
      </c>
      <c r="B149" s="2" t="s">
        <v>461</v>
      </c>
      <c r="C149" s="57"/>
      <c r="D149" s="57"/>
      <c r="E149" s="51" t="s">
        <v>1175</v>
      </c>
      <c r="F149" s="51"/>
      <c r="G149" s="51">
        <v>2</v>
      </c>
      <c r="H149" s="51" t="s">
        <v>1250</v>
      </c>
      <c r="I149" s="51"/>
      <c r="J149" s="51">
        <v>2</v>
      </c>
      <c r="K149" s="37" t="s">
        <v>1243</v>
      </c>
      <c r="L149" s="50"/>
      <c r="M149" s="4" t="s">
        <v>5</v>
      </c>
      <c r="N149" s="25"/>
      <c r="O149" s="25"/>
      <c r="P149" s="25"/>
      <c r="Q149" s="25"/>
      <c r="R149" s="25"/>
      <c r="S149" s="25">
        <v>608.6253639274039</v>
      </c>
      <c r="T149" s="25">
        <v>106.46131275066753</v>
      </c>
      <c r="U149" s="25">
        <v>106.46131275066753</v>
      </c>
      <c r="V149" s="30">
        <v>24.718205885922341</v>
      </c>
      <c r="W149" s="30">
        <v>141.31074156661342</v>
      </c>
      <c r="X149" s="31"/>
      <c r="Y149" s="31"/>
      <c r="Z149" s="31"/>
      <c r="AA149" s="31"/>
      <c r="AB149" s="31"/>
      <c r="AC149" s="31"/>
      <c r="AD149" s="31"/>
      <c r="AE149" s="32"/>
      <c r="AF149" s="16"/>
      <c r="AG149" s="3"/>
      <c r="AH149" s="4"/>
      <c r="AI149" s="6">
        <v>4307</v>
      </c>
      <c r="AJ149" s="38">
        <v>100</v>
      </c>
      <c r="AK149" s="3"/>
      <c r="AL149" s="1"/>
      <c r="AM149" s="37">
        <v>634.23</v>
      </c>
      <c r="AN149" s="37">
        <v>732</v>
      </c>
      <c r="AO149" s="37">
        <v>606.64</v>
      </c>
      <c r="AP149" s="37">
        <v>630</v>
      </c>
      <c r="AQ149" s="37"/>
      <c r="AR149" s="37"/>
      <c r="AS149" s="37"/>
      <c r="AT149" s="37"/>
      <c r="AU149" s="37"/>
      <c r="AV149" s="37"/>
      <c r="AW149" s="37"/>
      <c r="AX149" s="37"/>
      <c r="AY149" s="37"/>
      <c r="AZ149" s="37"/>
      <c r="BA149" s="37"/>
      <c r="BB149" s="37"/>
      <c r="BC149" s="37">
        <v>114.79</v>
      </c>
      <c r="BD149" s="37">
        <v>135.25</v>
      </c>
      <c r="BE149" s="37">
        <v>131.38999999999999</v>
      </c>
      <c r="BF149" s="37">
        <v>129.88</v>
      </c>
      <c r="BG149" s="42">
        <v>650.71749999999997</v>
      </c>
      <c r="BH149" s="42"/>
      <c r="BI149" s="42"/>
      <c r="BJ149" s="42"/>
      <c r="BK149" s="44">
        <v>650.71749999999997</v>
      </c>
      <c r="BL149" s="44">
        <v>127.8275</v>
      </c>
      <c r="BM149" s="44">
        <f>+BK149+BL149</f>
        <v>778.54499999999996</v>
      </c>
      <c r="BN149" s="47">
        <v>27.313568376068375</v>
      </c>
      <c r="BO149" s="47">
        <v>139.04220085470087</v>
      </c>
      <c r="BP149" s="45">
        <v>166.35576923076923</v>
      </c>
      <c r="BQ149" s="9">
        <v>4680</v>
      </c>
      <c r="BR149" s="4">
        <v>550</v>
      </c>
      <c r="BS149" s="4" t="s">
        <v>1018</v>
      </c>
      <c r="BT149" s="1" t="s">
        <v>1019</v>
      </c>
      <c r="BU149" s="4"/>
      <c r="BV149" s="4" t="s">
        <v>1020</v>
      </c>
      <c r="BW149" s="4" t="s">
        <v>874</v>
      </c>
      <c r="BX149" s="4" t="s">
        <v>1021</v>
      </c>
      <c r="BY149" s="9">
        <f>+INT(BK149*faktorji!$B$3)</f>
        <v>42296</v>
      </c>
      <c r="BZ149" s="9">
        <f>+INT(BL149*faktorji!$B$4)</f>
        <v>21091</v>
      </c>
      <c r="CA149" s="3" t="s">
        <v>1306</v>
      </c>
      <c r="CB149" s="4">
        <v>1</v>
      </c>
      <c r="CC149" s="4">
        <v>0</v>
      </c>
      <c r="CD149" s="4">
        <v>0</v>
      </c>
      <c r="CE149" s="4">
        <v>0</v>
      </c>
      <c r="CF149" s="4">
        <v>0</v>
      </c>
      <c r="CG149" s="4">
        <v>1</v>
      </c>
      <c r="CH149" s="4">
        <v>1</v>
      </c>
      <c r="CI149" s="9">
        <f>+BQ149*(CB149*faktorji!$B$21+'MOL_tabela rezultatov'!CF179*faktorji!$B$23+'MOL_tabela rezultatov'!CH179*faktorji!$B$26)+faktorji!$B$27*CG149</f>
        <v>165420</v>
      </c>
      <c r="CJ149" s="9">
        <f>+(BZ149*CF149*faktorji!$B$18)+(CG149*faktorji!$B$17*('MOL_tabela rezultatov'!BY179+'MOL_tabela rezultatov'!BZ179))+('MOL_tabela rezultatov'!CH179*faktorji!$B$16*'MOL_tabela rezultatov'!BY179)+('MOL_tabela rezultatov'!CB179*faktorji!$B$12*'MOL_tabela rezultatov'!BY179)</f>
        <v>4004</v>
      </c>
      <c r="CK149" s="66">
        <f>+CI149/CJ149</f>
        <v>41.313686313686311</v>
      </c>
      <c r="CL149" s="3" t="str">
        <f>CONCATENATE(IF(CB149&gt;0,"kotlovnica/toplotna postaja, ",""),IF(CF149&gt;0,"razsvetljava, ",""),IF(CG149&gt;0,"energetsko upravljanje, ",""),IF(CH149&gt;0,"manjši investicijski in organizacijski ukrepi, ",""))</f>
        <v xml:space="preserve">kotlovnica/toplotna postaja, energetsko upravljanje, manjši investicijski in organizacijski ukrepi, </v>
      </c>
      <c r="CM149" s="9">
        <f>+CJ149*0.9</f>
        <v>3603.6</v>
      </c>
      <c r="CN149" s="9">
        <f>+CJ149*0.9</f>
        <v>3603.6</v>
      </c>
      <c r="CO149" s="9">
        <f>+CJ149*0.9</f>
        <v>3603.6</v>
      </c>
      <c r="CP149" s="69">
        <f>+IF(CI149-SUM(CM149:CO149)&lt;0,0,CI149-SUM(CM149:CO149))</f>
        <v>154609.20000000001</v>
      </c>
      <c r="CQ149" s="9">
        <f>+(BQ149*CE149*faktorji!$B$24)+(BQ149^0.5*CC149*4*4*0.66*faktorji!$B$22)+(BQ149^0.5*CD149*4*4*0.33*faktorji!$B$25)</f>
        <v>0</v>
      </c>
      <c r="CR149" s="3" t="str">
        <f t="shared" si="97"/>
        <v/>
      </c>
      <c r="CS149" s="9">
        <f>+BQ149*('MOL_tabela rezultatov'!CH149*faktorji!$B$26)+faktorji!$B$27*CG149</f>
        <v>25020</v>
      </c>
      <c r="CT149" s="3" t="str">
        <f t="shared" si="95"/>
        <v xml:space="preserve">energetsko upravljanje, manjši investicijski in organizacijski ukrepi, </v>
      </c>
      <c r="CU149" s="9">
        <f t="shared" si="62"/>
        <v>6255</v>
      </c>
      <c r="CV149" s="9">
        <f t="shared" ref="CV149:CX149" si="123">+CU149</f>
        <v>6255</v>
      </c>
      <c r="CW149" s="9">
        <f t="shared" si="123"/>
        <v>6255</v>
      </c>
      <c r="CX149" s="69">
        <f t="shared" si="123"/>
        <v>6255</v>
      </c>
    </row>
    <row r="150" spans="1:102" s="10" customFormat="1" ht="18" hidden="1" customHeight="1">
      <c r="A150" s="53" t="s">
        <v>180</v>
      </c>
      <c r="B150" s="2" t="s">
        <v>181</v>
      </c>
      <c r="C150" s="57"/>
      <c r="D150" s="57"/>
      <c r="E150" s="51" t="s">
        <v>1170</v>
      </c>
      <c r="F150" s="51"/>
      <c r="G150" s="51">
        <v>3</v>
      </c>
      <c r="H150" s="51"/>
      <c r="I150" s="51"/>
      <c r="J150" s="51">
        <v>6</v>
      </c>
      <c r="K150" s="37" t="s">
        <v>1244</v>
      </c>
      <c r="L150" s="50"/>
      <c r="M150" s="4" t="s">
        <v>5</v>
      </c>
      <c r="N150" s="25">
        <v>120.06</v>
      </c>
      <c r="O150" s="25"/>
      <c r="P150" s="25"/>
      <c r="Q150" s="25"/>
      <c r="R150" s="25"/>
      <c r="S150" s="25"/>
      <c r="T150" s="25">
        <v>11.28</v>
      </c>
      <c r="U150" s="25">
        <v>131.34</v>
      </c>
      <c r="V150" s="30">
        <v>16.114285714285714</v>
      </c>
      <c r="W150" s="30">
        <v>171.51428571428571</v>
      </c>
      <c r="X150" s="31"/>
      <c r="Y150" s="31"/>
      <c r="Z150" s="31"/>
      <c r="AA150" s="31"/>
      <c r="AB150" s="31"/>
      <c r="AC150" s="31">
        <v>9.82</v>
      </c>
      <c r="AD150" s="31"/>
      <c r="AE150" s="32">
        <v>0</v>
      </c>
      <c r="AF150" s="1"/>
      <c r="AG150" s="4"/>
      <c r="AH150" s="4">
        <v>1893</v>
      </c>
      <c r="AI150" s="6">
        <v>700</v>
      </c>
      <c r="AJ150" s="38">
        <v>100</v>
      </c>
      <c r="AK150" s="3" t="s">
        <v>182</v>
      </c>
      <c r="AL150" s="1"/>
      <c r="AM150" s="37"/>
      <c r="AN150" s="37"/>
      <c r="AO150" s="37"/>
      <c r="AP150" s="37"/>
      <c r="AQ150" s="37"/>
      <c r="AR150" s="37"/>
      <c r="AS150" s="37"/>
      <c r="AT150" s="37"/>
      <c r="AU150" s="37"/>
      <c r="AV150" s="37"/>
      <c r="AW150" s="37"/>
      <c r="AX150" s="37"/>
      <c r="AY150" s="37"/>
      <c r="AZ150" s="37"/>
      <c r="BA150" s="37"/>
      <c r="BB150" s="37"/>
      <c r="BC150" s="37"/>
      <c r="BD150" s="37"/>
      <c r="BE150" s="37"/>
      <c r="BF150" s="37"/>
      <c r="BG150" s="42">
        <v>113.2</v>
      </c>
      <c r="BH150" s="42"/>
      <c r="BI150" s="42"/>
      <c r="BJ150" s="42"/>
      <c r="BK150" s="44">
        <v>113.2</v>
      </c>
      <c r="BL150" s="44">
        <v>11.28</v>
      </c>
      <c r="BM150" s="44">
        <f>+BK150+BL150</f>
        <v>124.48</v>
      </c>
      <c r="BN150" s="47">
        <v>161.71428571428572</v>
      </c>
      <c r="BO150" s="47">
        <v>16.114285714285714</v>
      </c>
      <c r="BP150" s="45">
        <v>177.82857142857142</v>
      </c>
      <c r="BQ150" s="9">
        <v>700</v>
      </c>
      <c r="BR150" s="4"/>
      <c r="BS150" s="4"/>
      <c r="BT150" s="4"/>
      <c r="BU150" s="4"/>
      <c r="BV150" s="4"/>
      <c r="BW150" s="4"/>
      <c r="BX150" s="4"/>
      <c r="BY150" s="9">
        <f>+INT(BK150*faktorji!$B$3)</f>
        <v>7358</v>
      </c>
      <c r="BZ150" s="9">
        <f>+INT(BL150*faktorji!$B$4)</f>
        <v>1861</v>
      </c>
      <c r="CA150" s="4"/>
      <c r="CB150" s="4">
        <v>0</v>
      </c>
      <c r="CC150" s="4">
        <v>0</v>
      </c>
      <c r="CD150" s="4">
        <v>0</v>
      </c>
      <c r="CE150" s="4">
        <v>0</v>
      </c>
      <c r="CF150" s="4">
        <v>1</v>
      </c>
      <c r="CG150" s="4">
        <v>1</v>
      </c>
      <c r="CH150" s="4">
        <v>1</v>
      </c>
      <c r="CI150" s="9">
        <f>+BQ150*(CB150*faktorji!$B$21+'MOL_tabela rezultatov'!CF66*faktorji!$B$23+'MOL_tabela rezultatov'!CH66*faktorji!$B$26)+faktorji!$B$27*CG150</f>
        <v>29550</v>
      </c>
      <c r="CJ150" s="9">
        <f>+(BZ150*CF150*faktorji!$B$18)+(CG150*faktorji!$B$17*('MOL_tabela rezultatov'!BY66+'MOL_tabela rezultatov'!BZ66))+('MOL_tabela rezultatov'!CH66*faktorji!$B$16*'MOL_tabela rezultatov'!BY66)+('MOL_tabela rezultatov'!CB66*faktorji!$B$12*'MOL_tabela rezultatov'!BY66)</f>
        <v>1326.15</v>
      </c>
      <c r="CK150" s="66">
        <f>+CI150/CJ150</f>
        <v>22.282547223164798</v>
      </c>
      <c r="CL150" s="3" t="str">
        <f>CONCATENATE(IF(CB150&gt;0,"kotlovnica/toplotna postaja, ",""),IF(CF150&gt;0,"razsvetljava, ",""),IF(CG150&gt;0,"energetsko upravljanje, ",""),IF(CH150&gt;0,"manjši investicijski in organizacijski ukrepi, ",""))</f>
        <v xml:space="preserve">razsvetljava, energetsko upravljanje, manjši investicijski in organizacijski ukrepi, </v>
      </c>
      <c r="CM150" s="9">
        <f>+CJ150*0.9</f>
        <v>1193.5350000000001</v>
      </c>
      <c r="CN150" s="9">
        <f>+CJ150*0.9</f>
        <v>1193.5350000000001</v>
      </c>
      <c r="CO150" s="9">
        <f>+CJ150*0.9</f>
        <v>1193.5350000000001</v>
      </c>
      <c r="CP150" s="69">
        <f>+IF(CI150-SUM(CM150:CO150)&lt;0,0,CI150-SUM(CM150:CO150))</f>
        <v>25969.395</v>
      </c>
      <c r="CQ150" s="9">
        <f>+(BQ150*CE150*faktorji!$B$24)+(BQ150^0.5*CC150*4*4*0.66*faktorji!$B$22)+(BQ150^0.5*CD150*4*4*0.33*faktorji!$B$25)</f>
        <v>0</v>
      </c>
      <c r="CR150" s="3" t="str">
        <f t="shared" si="97"/>
        <v/>
      </c>
      <c r="CS150" s="9">
        <f>+BQ150*('MOL_tabela rezultatov'!CH150*faktorji!$B$26)+faktorji!$B$27*CG150</f>
        <v>19050</v>
      </c>
      <c r="CT150" s="3" t="str">
        <f t="shared" si="95"/>
        <v xml:space="preserve">energetsko upravljanje, manjši investicijski in organizacijski ukrepi, </v>
      </c>
      <c r="CU150" s="9">
        <f t="shared" si="62"/>
        <v>4762.5</v>
      </c>
      <c r="CV150" s="9">
        <f t="shared" ref="CV150:CX150" si="124">+CU150</f>
        <v>4762.5</v>
      </c>
      <c r="CW150" s="9">
        <f t="shared" si="124"/>
        <v>4762.5</v>
      </c>
      <c r="CX150" s="69">
        <f t="shared" si="124"/>
        <v>4762.5</v>
      </c>
    </row>
    <row r="151" spans="1:102" s="10" customFormat="1" ht="18" hidden="1" customHeight="1">
      <c r="A151" s="53" t="s">
        <v>800</v>
      </c>
      <c r="B151" s="2" t="s">
        <v>801</v>
      </c>
      <c r="C151" s="57"/>
      <c r="D151" s="57"/>
      <c r="E151" s="51" t="s">
        <v>1176</v>
      </c>
      <c r="F151" s="51"/>
      <c r="G151" s="51">
        <v>3</v>
      </c>
      <c r="H151" s="51"/>
      <c r="I151" s="51"/>
      <c r="J151" s="51">
        <v>7</v>
      </c>
      <c r="K151" s="37" t="s">
        <v>1243</v>
      </c>
      <c r="L151" s="50"/>
      <c r="M151" s="4" t="s">
        <v>5</v>
      </c>
      <c r="N151" s="28">
        <v>184</v>
      </c>
      <c r="O151" s="25"/>
      <c r="P151" s="25"/>
      <c r="Q151" s="25"/>
      <c r="R151" s="25"/>
      <c r="S151" s="25"/>
      <c r="T151" s="25">
        <v>134.19999999999999</v>
      </c>
      <c r="U151" s="25">
        <v>318.2</v>
      </c>
      <c r="V151" s="30">
        <v>75.690919345741676</v>
      </c>
      <c r="W151" s="30">
        <v>103.77890580936266</v>
      </c>
      <c r="X151" s="31"/>
      <c r="Y151" s="31"/>
      <c r="Z151" s="31"/>
      <c r="AA151" s="31"/>
      <c r="AB151" s="31"/>
      <c r="AC151" s="31"/>
      <c r="AD151" s="31"/>
      <c r="AE151" s="32"/>
      <c r="AF151" s="16"/>
      <c r="AG151" s="3"/>
      <c r="AH151" s="4"/>
      <c r="AI151" s="6">
        <v>1773</v>
      </c>
      <c r="AJ151" s="38">
        <v>100</v>
      </c>
      <c r="AK151" s="3"/>
      <c r="AL151" s="1" t="s">
        <v>421</v>
      </c>
      <c r="AM151" s="39"/>
      <c r="AN151" s="39"/>
      <c r="AO151" s="39"/>
      <c r="AP151" s="39"/>
      <c r="AQ151" s="37"/>
      <c r="AR151" s="37"/>
      <c r="AS151" s="37"/>
      <c r="AT151" s="37"/>
      <c r="AU151" s="37"/>
      <c r="AV151" s="37"/>
      <c r="AW151" s="37"/>
      <c r="AX151" s="37"/>
      <c r="AY151" s="37"/>
      <c r="AZ151" s="37"/>
      <c r="BA151" s="37"/>
      <c r="BB151" s="37"/>
      <c r="BC151" s="37">
        <v>128.30000000000001</v>
      </c>
      <c r="BD151" s="37">
        <v>128.30000000000001</v>
      </c>
      <c r="BE151" s="37">
        <v>128.69999999999999</v>
      </c>
      <c r="BF151" s="37">
        <v>122.7</v>
      </c>
      <c r="BG151" s="42">
        <v>226.88</v>
      </c>
      <c r="BH151" s="42">
        <v>21.22</v>
      </c>
      <c r="BI151" s="42"/>
      <c r="BJ151" s="42"/>
      <c r="BK151" s="44">
        <v>248.1</v>
      </c>
      <c r="BL151" s="44">
        <v>127</v>
      </c>
      <c r="BM151" s="44">
        <f>+BK151+BL151</f>
        <v>375.1</v>
      </c>
      <c r="BN151" s="47">
        <v>114.49007844946931</v>
      </c>
      <c r="BO151" s="47">
        <v>58.606368251038305</v>
      </c>
      <c r="BP151" s="45">
        <v>173.09644670050761</v>
      </c>
      <c r="BQ151" s="9">
        <v>2167</v>
      </c>
      <c r="BR151" s="4" t="s">
        <v>970</v>
      </c>
      <c r="BS151" s="4">
        <v>2007</v>
      </c>
      <c r="BT151" s="4" t="s">
        <v>872</v>
      </c>
      <c r="BU151" s="4" t="s">
        <v>971</v>
      </c>
      <c r="BV151" s="4" t="s">
        <v>898</v>
      </c>
      <c r="BW151" s="1" t="s">
        <v>972</v>
      </c>
      <c r="BX151" s="4"/>
      <c r="BY151" s="9">
        <f>+INT(BK151*faktorji!$B$3)</f>
        <v>16126</v>
      </c>
      <c r="BZ151" s="9">
        <f>+INT(BL151*faktorji!$B$4)</f>
        <v>20955</v>
      </c>
      <c r="CA151" s="4"/>
      <c r="CB151" s="4">
        <v>0</v>
      </c>
      <c r="CC151" s="4">
        <v>1</v>
      </c>
      <c r="CD151" s="4">
        <v>0</v>
      </c>
      <c r="CE151" s="4">
        <v>0</v>
      </c>
      <c r="CF151" s="4">
        <v>1</v>
      </c>
      <c r="CG151" s="4">
        <v>1</v>
      </c>
      <c r="CH151" s="4">
        <v>1</v>
      </c>
      <c r="CI151" s="9">
        <f>+BQ151*(CB151*faktorji!$B$21+'MOL_tabela rezultatov'!CF291*faktorji!$B$23+'MOL_tabela rezultatov'!CH291*faktorji!$B$26)+faktorji!$B$27*CG151</f>
        <v>21250.5</v>
      </c>
      <c r="CJ151" s="9">
        <f>+(BZ151*CF151*faktorji!$B$18)+(CG151*faktorji!$B$17*('MOL_tabela rezultatov'!BY291+'MOL_tabela rezultatov'!BZ291))+('MOL_tabela rezultatov'!CH291*faktorji!$B$16*'MOL_tabela rezultatov'!BY291)+('MOL_tabela rezultatov'!CB291*faktorji!$B$12*'MOL_tabela rezultatov'!BY291)</f>
        <v>4946.55</v>
      </c>
      <c r="CK151" s="66">
        <f>+CI151/CJ151</f>
        <v>4.2960245019255847</v>
      </c>
      <c r="CL151" s="3" t="str">
        <f>CONCATENATE(IF(CB151&gt;0,"kotlovnica/toplotna postaja, ",""),IF(CF151&gt;0,"razsvetljava, ",""),IF(CG151&gt;0,"energetsko upravljanje, ",""),IF(CH151&gt;0,"manjši investicijski in organizacijski ukrepi, ",""))</f>
        <v xml:space="preserve">razsvetljava, energetsko upravljanje, manjši investicijski in organizacijski ukrepi, </v>
      </c>
      <c r="CM151" s="9">
        <f>+CJ151*0.9</f>
        <v>4451.8950000000004</v>
      </c>
      <c r="CN151" s="9">
        <f>+CJ151*0.9</f>
        <v>4451.8950000000004</v>
      </c>
      <c r="CO151" s="9">
        <f>+CJ151*0.9</f>
        <v>4451.8950000000004</v>
      </c>
      <c r="CP151" s="69">
        <f>+IF(CI151-SUM(CM151:CO151)&lt;0,0,CI151-SUM(CM151:CO151))</f>
        <v>7894.8149999999987</v>
      </c>
      <c r="CQ151" s="9">
        <f>+(BQ151*CE151*faktorji!$B$24)+(BQ151^0.5*CC151*4*4*0.66*faktorji!$B$22)+(BQ151^0.5*CD151*4*4*0.33*faktorji!$B$25)</f>
        <v>34410.534126630468</v>
      </c>
      <c r="CR151" s="3" t="str">
        <f t="shared" si="97"/>
        <v xml:space="preserve">izolacija ovoja, </v>
      </c>
      <c r="CS151" s="9">
        <f>+BQ151*('MOL_tabela rezultatov'!CH151*faktorji!$B$26)+faktorji!$B$27*CG151</f>
        <v>21250.5</v>
      </c>
      <c r="CT151" s="3" t="str">
        <f t="shared" si="95"/>
        <v xml:space="preserve">energetsko upravljanje, manjši investicijski in organizacijski ukrepi, </v>
      </c>
      <c r="CU151" s="9">
        <f t="shared" si="62"/>
        <v>5312.625</v>
      </c>
      <c r="CV151" s="9">
        <f t="shared" ref="CV151:CX151" si="125">+CU151</f>
        <v>5312.625</v>
      </c>
      <c r="CW151" s="9">
        <f t="shared" si="125"/>
        <v>5312.625</v>
      </c>
      <c r="CX151" s="69">
        <f t="shared" si="125"/>
        <v>5312.625</v>
      </c>
    </row>
    <row r="152" spans="1:102" s="10" customFormat="1" ht="18" hidden="1" customHeight="1">
      <c r="A152" s="54" t="s">
        <v>222</v>
      </c>
      <c r="B152" s="3" t="s">
        <v>228</v>
      </c>
      <c r="C152" s="56"/>
      <c r="D152" s="56"/>
      <c r="E152" s="51" t="s">
        <v>1172</v>
      </c>
      <c r="F152" s="51"/>
      <c r="G152" s="51">
        <v>4</v>
      </c>
      <c r="H152" s="51"/>
      <c r="I152" s="51"/>
      <c r="J152" s="51">
        <v>6</v>
      </c>
      <c r="K152" s="37" t="s">
        <v>1242</v>
      </c>
      <c r="L152" s="50"/>
      <c r="M152" s="4" t="s">
        <v>6</v>
      </c>
      <c r="N152" s="25"/>
      <c r="O152" s="25">
        <v>143.9</v>
      </c>
      <c r="P152" s="25"/>
      <c r="Q152" s="25"/>
      <c r="R152" s="25"/>
      <c r="S152" s="25"/>
      <c r="T152" s="25">
        <v>25.3</v>
      </c>
      <c r="U152" s="25">
        <v>169.20000000000002</v>
      </c>
      <c r="V152" s="30">
        <v>32.733859490231595</v>
      </c>
      <c r="W152" s="30">
        <v>186.18191227843189</v>
      </c>
      <c r="X152" s="31"/>
      <c r="Y152" s="31"/>
      <c r="Z152" s="31"/>
      <c r="AA152" s="31"/>
      <c r="AB152" s="31"/>
      <c r="AC152" s="31"/>
      <c r="AD152" s="31"/>
      <c r="AE152" s="32"/>
      <c r="AF152" s="1"/>
      <c r="AG152" s="4"/>
      <c r="AH152" s="4">
        <v>1965</v>
      </c>
      <c r="AI152" s="6">
        <v>772.9</v>
      </c>
      <c r="AJ152" s="38"/>
      <c r="AK152" s="3"/>
      <c r="AL152" s="1" t="s">
        <v>229</v>
      </c>
      <c r="AM152" s="37"/>
      <c r="AN152" s="37"/>
      <c r="AO152" s="37"/>
      <c r="AP152" s="37"/>
      <c r="AQ152" s="37"/>
      <c r="AR152" s="37"/>
      <c r="AS152" s="37"/>
      <c r="AT152" s="37"/>
      <c r="AU152" s="37"/>
      <c r="AV152" s="37"/>
      <c r="AW152" s="37"/>
      <c r="AX152" s="37"/>
      <c r="AY152" s="37"/>
      <c r="AZ152" s="37"/>
      <c r="BA152" s="37"/>
      <c r="BB152" s="37"/>
      <c r="BC152" s="37">
        <v>9.6</v>
      </c>
      <c r="BD152" s="37">
        <v>12.7</v>
      </c>
      <c r="BE152" s="37">
        <v>11</v>
      </c>
      <c r="BF152" s="37">
        <v>11.1</v>
      </c>
      <c r="BG152" s="42"/>
      <c r="BH152" s="42">
        <v>143.9</v>
      </c>
      <c r="BI152" s="42"/>
      <c r="BJ152" s="42"/>
      <c r="BK152" s="44">
        <v>143.9</v>
      </c>
      <c r="BL152" s="44">
        <v>11.1</v>
      </c>
      <c r="BM152" s="44">
        <f>+BK152+BL152</f>
        <v>155</v>
      </c>
      <c r="BN152" s="47">
        <v>200.19476905954369</v>
      </c>
      <c r="BO152" s="47">
        <v>15.442404006677798</v>
      </c>
      <c r="BP152" s="45">
        <v>215.63717306622149</v>
      </c>
      <c r="BQ152" s="9">
        <v>718.8</v>
      </c>
      <c r="BR152" s="4"/>
      <c r="BS152" s="4"/>
      <c r="BT152" s="4" t="s">
        <v>1120</v>
      </c>
      <c r="BU152" s="4" t="s">
        <v>1144</v>
      </c>
      <c r="BV152" s="4"/>
      <c r="BW152" s="4"/>
      <c r="BX152" s="4"/>
      <c r="BY152" s="9">
        <f>+INT(BK152*faktorji!$B$5)</f>
        <v>13670</v>
      </c>
      <c r="BZ152" s="9">
        <f>+INT(BL152*faktorji!$B$4)</f>
        <v>1831</v>
      </c>
      <c r="CA152" s="4"/>
      <c r="CB152" s="4">
        <v>0</v>
      </c>
      <c r="CC152" s="4">
        <v>0</v>
      </c>
      <c r="CD152" s="4">
        <v>0</v>
      </c>
      <c r="CE152" s="4">
        <v>0</v>
      </c>
      <c r="CF152" s="4">
        <v>1</v>
      </c>
      <c r="CG152" s="4">
        <v>1</v>
      </c>
      <c r="CH152" s="4">
        <v>1</v>
      </c>
      <c r="CI152" s="9">
        <f>+BQ152*(CB152*faktorji!$B$21+'MOL_tabela rezultatov'!CF80*faktorji!$B$23+'MOL_tabela rezultatov'!CH80*faktorji!$B$26)+faktorji!$B$27*CG152</f>
        <v>19078.2</v>
      </c>
      <c r="CJ152" s="9">
        <f>+(BZ152*CF152*faktorji!$B$18)+(CG152*faktorji!$B$17*('MOL_tabela rezultatov'!BY80+'MOL_tabela rezultatov'!BZ80))+('MOL_tabela rezultatov'!CH80*faktorji!$B$16*'MOL_tabela rezultatov'!BY80)+('MOL_tabela rezultatov'!CB80*faktorji!$B$12*'MOL_tabela rezultatov'!BY80)</f>
        <v>8111.45</v>
      </c>
      <c r="CK152" s="66">
        <f>+CI152/CJ152</f>
        <v>2.3520085804634192</v>
      </c>
      <c r="CL152" s="3" t="str">
        <f>CONCATENATE(IF(CB152&gt;0,"kotlovnica/toplotna postaja, ",""),IF(CF152&gt;0,"razsvetljava, ",""),IF(CG152&gt;0,"energetsko upravljanje, ",""),IF(CH152&gt;0,"manjši investicijski in organizacijski ukrepi, ",""))</f>
        <v xml:space="preserve">razsvetljava, energetsko upravljanje, manjši investicijski in organizacijski ukrepi, </v>
      </c>
      <c r="CM152" s="9">
        <f>+CJ152*0.9</f>
        <v>7300.3050000000003</v>
      </c>
      <c r="CN152" s="9">
        <f>+CJ152*0.9</f>
        <v>7300.3050000000003</v>
      </c>
      <c r="CO152" s="9">
        <f>+CJ152*0.9</f>
        <v>7300.3050000000003</v>
      </c>
      <c r="CP152" s="69">
        <f>+IF(CI152-SUM(CM152:CO152)&lt;0,0,CI152-SUM(CM152:CO152))</f>
        <v>0</v>
      </c>
      <c r="CQ152" s="9">
        <f>+(BQ152*CE152*faktorji!$B$24)+(BQ152^0.5*CC152*4*4*0.66*faktorji!$B$22)+(BQ152^0.5*CD152*4*4*0.33*faktorji!$B$25)</f>
        <v>0</v>
      </c>
      <c r="CR152" s="3" t="str">
        <f t="shared" si="97"/>
        <v/>
      </c>
      <c r="CS152" s="9">
        <f>+BQ152*('MOL_tabela rezultatov'!CH152*faktorji!$B$26)+faktorji!$B$27*CG152</f>
        <v>19078.2</v>
      </c>
      <c r="CT152" s="3" t="str">
        <f t="shared" si="95"/>
        <v xml:space="preserve">energetsko upravljanje, manjši investicijski in organizacijski ukrepi, </v>
      </c>
      <c r="CU152" s="9">
        <f t="shared" si="62"/>
        <v>4769.55</v>
      </c>
      <c r="CV152" s="9">
        <f t="shared" ref="CV152:CX152" si="126">+CU152</f>
        <v>4769.55</v>
      </c>
      <c r="CW152" s="9">
        <f t="shared" si="126"/>
        <v>4769.55</v>
      </c>
      <c r="CX152" s="69">
        <f t="shared" si="126"/>
        <v>4769.55</v>
      </c>
    </row>
    <row r="153" spans="1:102" s="10" customFormat="1" ht="18" hidden="1" customHeight="1">
      <c r="A153" s="54" t="s">
        <v>304</v>
      </c>
      <c r="B153" s="133" t="s">
        <v>308</v>
      </c>
      <c r="C153" s="56"/>
      <c r="D153" s="56"/>
      <c r="E153" s="51" t="s">
        <v>1174</v>
      </c>
      <c r="F153" s="51"/>
      <c r="G153" s="51">
        <v>4</v>
      </c>
      <c r="H153" s="51"/>
      <c r="I153" s="51"/>
      <c r="J153" s="51">
        <v>7</v>
      </c>
      <c r="K153" s="37" t="s">
        <v>1244</v>
      </c>
      <c r="L153" s="50"/>
      <c r="M153" s="4" t="s">
        <v>6</v>
      </c>
      <c r="N153" s="25"/>
      <c r="O153" s="25">
        <v>57.1995</v>
      </c>
      <c r="P153" s="25"/>
      <c r="Q153" s="25"/>
      <c r="R153" s="25"/>
      <c r="S153" s="25"/>
      <c r="T153" s="25">
        <v>6.5</v>
      </c>
      <c r="U153" s="25"/>
      <c r="V153" s="30"/>
      <c r="W153" s="30"/>
      <c r="X153" s="31"/>
      <c r="Y153" s="31"/>
      <c r="Z153" s="31"/>
      <c r="AA153" s="31"/>
      <c r="AB153" s="31"/>
      <c r="AC153" s="31"/>
      <c r="AD153" s="31"/>
      <c r="AE153" s="32"/>
      <c r="AF153" s="1"/>
      <c r="AG153" s="4"/>
      <c r="AH153" s="4"/>
      <c r="AI153" s="6">
        <v>717</v>
      </c>
      <c r="AJ153" s="38"/>
      <c r="AK153" s="3"/>
      <c r="AL153" s="1" t="s">
        <v>309</v>
      </c>
      <c r="AM153" s="37"/>
      <c r="AN153" s="37"/>
      <c r="AO153" s="37"/>
      <c r="AP153" s="37"/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7"/>
      <c r="BE153" s="37"/>
      <c r="BF153" s="37"/>
      <c r="BG153" s="42"/>
      <c r="BH153" s="42">
        <v>58.75</v>
      </c>
      <c r="BI153" s="42"/>
      <c r="BJ153" s="42"/>
      <c r="BK153" s="44">
        <v>58.75</v>
      </c>
      <c r="BL153" s="44">
        <v>6.5</v>
      </c>
      <c r="BM153" s="44">
        <f>+BK153+BL153</f>
        <v>65.25</v>
      </c>
      <c r="BN153" s="47">
        <v>81.938633193863325</v>
      </c>
      <c r="BO153" s="47">
        <v>9.0655509065550905</v>
      </c>
      <c r="BP153" s="45">
        <v>91.004184100418414</v>
      </c>
      <c r="BQ153" s="6">
        <v>717</v>
      </c>
      <c r="BR153" s="4"/>
      <c r="BS153" s="4"/>
      <c r="BT153" s="4"/>
      <c r="BU153" s="4"/>
      <c r="BV153" s="4"/>
      <c r="BW153" s="4"/>
      <c r="BX153" s="4"/>
      <c r="BY153" s="9">
        <f>+INT(BK153*faktorji!$B$5)</f>
        <v>5581</v>
      </c>
      <c r="BZ153" s="9">
        <f>+INT(BL153*faktorji!$B$4)</f>
        <v>1072</v>
      </c>
      <c r="CA153" s="4"/>
      <c r="CB153" s="4">
        <v>0</v>
      </c>
      <c r="CC153" s="4">
        <v>0</v>
      </c>
      <c r="CD153" s="4">
        <v>0</v>
      </c>
      <c r="CE153" s="4">
        <v>0</v>
      </c>
      <c r="CF153" s="4">
        <v>1</v>
      </c>
      <c r="CG153" s="4">
        <v>1</v>
      </c>
      <c r="CH153" s="4">
        <v>1</v>
      </c>
      <c r="CI153" s="9">
        <f>+BQ153*(CB153*faktorji!$B$21+'MOL_tabela rezultatov'!CF121*faktorji!$B$23+'MOL_tabela rezultatov'!CH121*faktorji!$B$26)+faktorji!$B$27*CG153</f>
        <v>29830.5</v>
      </c>
      <c r="CJ153" s="9">
        <f>+(BZ153*CF153*faktorji!$B$18)+(CG153*faktorji!$B$17*('MOL_tabela rezultatov'!BY121+'MOL_tabela rezultatov'!BZ121))+('MOL_tabela rezultatov'!CH121*faktorji!$B$16*'MOL_tabela rezultatov'!BY121)+('MOL_tabela rezultatov'!CB121*faktorji!$B$12*'MOL_tabela rezultatov'!BY121)</f>
        <v>1531.5</v>
      </c>
      <c r="CK153" s="66">
        <f>+CI153/CJ153</f>
        <v>19.47796278158668</v>
      </c>
      <c r="CL153" s="3" t="str">
        <f>CONCATENATE(IF(CB153&gt;0,"kotlovnica/toplotna postaja, ",""),IF(CF153&gt;0,"razsvetljava, ",""),IF(CG153&gt;0,"energetsko upravljanje, ",""),IF(CH153&gt;0,"manjši investicijski in organizacijski ukrepi, ",""))</f>
        <v xml:space="preserve">razsvetljava, energetsko upravljanje, manjši investicijski in organizacijski ukrepi, </v>
      </c>
      <c r="CM153" s="9">
        <f>+CJ153*0.9</f>
        <v>1378.3500000000001</v>
      </c>
      <c r="CN153" s="9">
        <f>+CJ153*0.9</f>
        <v>1378.3500000000001</v>
      </c>
      <c r="CO153" s="9">
        <f>+CJ153*0.9</f>
        <v>1378.3500000000001</v>
      </c>
      <c r="CP153" s="69">
        <f>+IF(CI153-SUM(CM153:CO153)&lt;0,0,CI153-SUM(CM153:CO153))</f>
        <v>25695.45</v>
      </c>
      <c r="CQ153" s="9">
        <f>+(BQ153*CE153*faktorji!$B$24)+(BQ153^0.5*CC153*4*4*0.66*faktorji!$B$22)+(BQ153^0.5*CD153*4*4*0.33*faktorji!$B$25)</f>
        <v>0</v>
      </c>
      <c r="CR153" s="3" t="str">
        <f t="shared" si="97"/>
        <v/>
      </c>
      <c r="CS153" s="9">
        <f>+BQ153*('MOL_tabela rezultatov'!CH153*faktorji!$B$26)+faktorji!$B$27*CG153</f>
        <v>19075.5</v>
      </c>
      <c r="CT153" s="3" t="str">
        <f t="shared" si="95"/>
        <v xml:space="preserve">energetsko upravljanje, manjši investicijski in organizacijski ukrepi, </v>
      </c>
      <c r="CU153" s="9">
        <f t="shared" ref="CU153:CU212" si="127">+CS153/4</f>
        <v>4768.875</v>
      </c>
      <c r="CV153" s="9">
        <f t="shared" ref="CV153:CX153" si="128">+CU153</f>
        <v>4768.875</v>
      </c>
      <c r="CW153" s="9">
        <f t="shared" si="128"/>
        <v>4768.875</v>
      </c>
      <c r="CX153" s="69">
        <f t="shared" si="128"/>
        <v>4768.875</v>
      </c>
    </row>
    <row r="154" spans="1:102" s="10" customFormat="1" ht="18" hidden="1" customHeight="1">
      <c r="A154" s="53" t="s">
        <v>849</v>
      </c>
      <c r="B154" s="134" t="s">
        <v>850</v>
      </c>
      <c r="C154" s="57"/>
      <c r="D154" s="57"/>
      <c r="E154" s="51" t="s">
        <v>1176</v>
      </c>
      <c r="F154" s="51"/>
      <c r="G154" s="51">
        <v>3</v>
      </c>
      <c r="H154" s="51"/>
      <c r="I154" s="51"/>
      <c r="J154" s="51">
        <v>7</v>
      </c>
      <c r="K154" s="37" t="s">
        <v>1243</v>
      </c>
      <c r="L154" s="50"/>
      <c r="M154" s="1" t="s">
        <v>88</v>
      </c>
      <c r="N154" s="29"/>
      <c r="O154" s="29"/>
      <c r="P154" s="29"/>
      <c r="Q154" s="29"/>
      <c r="R154" s="29"/>
      <c r="S154" s="29"/>
      <c r="T154" s="25"/>
      <c r="U154" s="25"/>
      <c r="V154" s="30"/>
      <c r="W154" s="30"/>
      <c r="X154" s="31"/>
      <c r="Y154" s="31"/>
      <c r="Z154" s="31"/>
      <c r="AA154" s="31"/>
      <c r="AB154" s="31"/>
      <c r="AC154" s="31"/>
      <c r="AD154" s="31"/>
      <c r="AE154" s="32"/>
      <c r="AF154" s="16"/>
      <c r="AG154" s="3"/>
      <c r="AH154" s="4"/>
      <c r="AI154" s="6"/>
      <c r="AJ154" s="38"/>
      <c r="AK154" s="3"/>
      <c r="AL154" s="1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>
        <v>7.52</v>
      </c>
      <c r="BF154" s="40">
        <v>5.7</v>
      </c>
      <c r="BG154" s="42"/>
      <c r="BH154" s="42"/>
      <c r="BI154" s="42"/>
      <c r="BJ154" s="42"/>
      <c r="BK154" s="44">
        <v>60.738900000000001</v>
      </c>
      <c r="BL154" s="44">
        <v>6.6099999999999994</v>
      </c>
      <c r="BM154" s="44">
        <f>+BK154+BL154</f>
        <v>67.3489</v>
      </c>
      <c r="BN154" s="47">
        <v>207.3</v>
      </c>
      <c r="BO154" s="47">
        <v>22.559726962457336</v>
      </c>
      <c r="BP154" s="45">
        <v>229.85972696245733</v>
      </c>
      <c r="BQ154" s="9">
        <v>293</v>
      </c>
      <c r="BR154" s="4" t="s">
        <v>985</v>
      </c>
      <c r="BS154" s="4">
        <v>2011</v>
      </c>
      <c r="BT154" s="4" t="s">
        <v>872</v>
      </c>
      <c r="BU154" s="4"/>
      <c r="BV154" s="4" t="s">
        <v>986</v>
      </c>
      <c r="BW154" s="4" t="s">
        <v>986</v>
      </c>
      <c r="BX154" s="4" t="s">
        <v>984</v>
      </c>
      <c r="BY154" s="9"/>
      <c r="BZ154" s="9">
        <f>+INT(BL154*faktorji!$B$4)</f>
        <v>1090</v>
      </c>
      <c r="CA154" s="4"/>
      <c r="CB154" s="4">
        <v>0</v>
      </c>
      <c r="CC154" s="4">
        <v>0</v>
      </c>
      <c r="CD154" s="4">
        <v>0</v>
      </c>
      <c r="CE154" s="4">
        <v>0</v>
      </c>
      <c r="CF154" s="4">
        <v>0</v>
      </c>
      <c r="CG154" s="4">
        <v>1</v>
      </c>
      <c r="CH154" s="4">
        <v>1</v>
      </c>
      <c r="CI154" s="9">
        <f>+BQ154*(CB154*faktorji!$B$21+'MOL_tabela rezultatov'!CF297*faktorji!$B$23+'MOL_tabela rezultatov'!CH297*faktorji!$B$26)+faktorji!$B$27*CG154</f>
        <v>22834.5</v>
      </c>
      <c r="CJ154" s="9">
        <f>+(BZ154*CF154*faktorji!$B$18)+(CG154*faktorji!$B$17*('MOL_tabela rezultatov'!BY297+'MOL_tabela rezultatov'!BZ297))+('MOL_tabela rezultatov'!CH297*faktorji!$B$16*'MOL_tabela rezultatov'!BY297)+('MOL_tabela rezultatov'!CB297*faktorji!$B$12*'MOL_tabela rezultatov'!BY297)</f>
        <v>5210.5</v>
      </c>
      <c r="CK154" s="66">
        <f>+CI154/CJ154</f>
        <v>4.3824009212167736</v>
      </c>
      <c r="CL154" s="3" t="str">
        <f>CONCATENATE(IF(CB154&gt;0,"kotlovnica/toplotna postaja, ",""),IF(CF154&gt;0,"razsvetljava, ",""),IF(CG154&gt;0,"energetsko upravljanje, ",""),IF(CH154&gt;0,"manjši investicijski in organizacijski ukrepi, ",""))</f>
        <v xml:space="preserve">energetsko upravljanje, manjši investicijski in organizacijski ukrepi, </v>
      </c>
      <c r="CM154" s="9">
        <f>+CJ154*0.9</f>
        <v>4689.45</v>
      </c>
      <c r="CN154" s="9">
        <f>+CJ154*0.9</f>
        <v>4689.45</v>
      </c>
      <c r="CO154" s="9">
        <f>+CJ154*0.9</f>
        <v>4689.45</v>
      </c>
      <c r="CP154" s="69">
        <f>+IF(CI154-SUM(CM154:CO154)&lt;0,0,CI154-SUM(CM154:CO154))</f>
        <v>8766.1500000000015</v>
      </c>
      <c r="CQ154" s="9">
        <f>+(BQ154*CE154*faktorji!$B$24)+(BQ154^0.5*CC154*4*4*0.66*faktorji!$B$22)+(BQ154^0.5*CD154*4*4*0.33*faktorji!$B$25)</f>
        <v>0</v>
      </c>
      <c r="CR154" s="3" t="str">
        <f t="shared" si="97"/>
        <v/>
      </c>
      <c r="CS154" s="9">
        <f>+BQ154*('MOL_tabela rezultatov'!CH154*faktorji!$B$26)+faktorji!$B$27*CG154</f>
        <v>18439.5</v>
      </c>
      <c r="CT154" s="3" t="str">
        <f t="shared" si="95"/>
        <v xml:space="preserve">energetsko upravljanje, manjši investicijski in organizacijski ukrepi, </v>
      </c>
      <c r="CU154" s="9">
        <f t="shared" si="127"/>
        <v>4609.875</v>
      </c>
      <c r="CV154" s="9">
        <f t="shared" ref="CV154:CX154" si="129">+CU154</f>
        <v>4609.875</v>
      </c>
      <c r="CW154" s="9">
        <f t="shared" si="129"/>
        <v>4609.875</v>
      </c>
      <c r="CX154" s="69">
        <f t="shared" si="129"/>
        <v>4609.875</v>
      </c>
    </row>
    <row r="155" spans="1:102" s="10" customFormat="1" ht="18" customHeight="1">
      <c r="A155" s="118" t="s">
        <v>339</v>
      </c>
      <c r="B155" s="147" t="s">
        <v>340</v>
      </c>
      <c r="C155" s="56"/>
      <c r="D155" s="56"/>
      <c r="E155" s="51" t="s">
        <v>331</v>
      </c>
      <c r="F155" s="51"/>
      <c r="G155" s="51">
        <v>2</v>
      </c>
      <c r="H155" s="51" t="s">
        <v>1255</v>
      </c>
      <c r="I155" s="51"/>
      <c r="J155" s="51">
        <v>5</v>
      </c>
      <c r="K155" s="37" t="s">
        <v>1243</v>
      </c>
      <c r="L155" s="50"/>
      <c r="M155" s="110" t="s">
        <v>6</v>
      </c>
      <c r="N155" s="25"/>
      <c r="O155" s="25">
        <v>551</v>
      </c>
      <c r="P155" s="25"/>
      <c r="Q155" s="25"/>
      <c r="R155" s="25"/>
      <c r="S155" s="25"/>
      <c r="T155" s="25">
        <v>120.5</v>
      </c>
      <c r="U155" s="25">
        <v>671.5</v>
      </c>
      <c r="V155" s="30">
        <v>65.489130434782609</v>
      </c>
      <c r="W155" s="30">
        <v>299.45652173913044</v>
      </c>
      <c r="X155" s="31"/>
      <c r="Y155" s="31">
        <v>532</v>
      </c>
      <c r="Z155" s="31"/>
      <c r="AA155" s="31"/>
      <c r="AB155" s="31"/>
      <c r="AC155" s="31">
        <v>188.6</v>
      </c>
      <c r="AD155" s="31"/>
      <c r="AE155" s="32">
        <v>289.13043478260869</v>
      </c>
      <c r="AF155" s="1"/>
      <c r="AG155" s="4" t="s">
        <v>341</v>
      </c>
      <c r="AH155" s="4"/>
      <c r="AI155" s="6">
        <v>1840</v>
      </c>
      <c r="AJ155" s="38">
        <v>100</v>
      </c>
      <c r="AK155" s="3"/>
      <c r="AL155" s="1"/>
      <c r="AM155" s="37"/>
      <c r="AN155" s="37"/>
      <c r="AO155" s="37"/>
      <c r="AP155" s="37"/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  <c r="BA155" s="37"/>
      <c r="BB155" s="37"/>
      <c r="BC155" s="37">
        <v>58.4</v>
      </c>
      <c r="BD155" s="37">
        <v>173.2</v>
      </c>
      <c r="BE155" s="37">
        <v>117</v>
      </c>
      <c r="BF155" s="37"/>
      <c r="BG155" s="42"/>
      <c r="BH155" s="42">
        <v>368.2</v>
      </c>
      <c r="BI155" s="42"/>
      <c r="BJ155" s="42"/>
      <c r="BK155" s="107">
        <v>420.4</v>
      </c>
      <c r="BL155" s="107">
        <v>117.5</v>
      </c>
      <c r="BM155" s="107">
        <f>+BK155+BL155</f>
        <v>537.9</v>
      </c>
      <c r="BN155" s="108">
        <f>+BK155*1000/BQ155</f>
        <v>228.47826086956522</v>
      </c>
      <c r="BO155" s="108">
        <f>+BL155*1000/BQ155</f>
        <v>63.858695652173914</v>
      </c>
      <c r="BP155" s="109">
        <f>+BO155+BN155</f>
        <v>292.33695652173913</v>
      </c>
      <c r="BQ155" s="106">
        <v>1840</v>
      </c>
      <c r="BR155" s="110" t="s">
        <v>1417</v>
      </c>
      <c r="BS155" s="110">
        <v>1993</v>
      </c>
      <c r="BT155" s="110" t="s">
        <v>872</v>
      </c>
      <c r="BU155" s="4"/>
      <c r="BV155" s="4" t="s">
        <v>1161</v>
      </c>
      <c r="BW155" s="4" t="s">
        <v>874</v>
      </c>
      <c r="BX155" s="4"/>
      <c r="BY155" s="106">
        <v>22080</v>
      </c>
      <c r="BZ155" s="106">
        <v>7140</v>
      </c>
      <c r="CA155" s="111" t="s">
        <v>1300</v>
      </c>
      <c r="CB155" s="4">
        <v>1</v>
      </c>
      <c r="CC155" s="4">
        <v>0</v>
      </c>
      <c r="CD155" s="4">
        <v>0</v>
      </c>
      <c r="CE155" s="4">
        <v>0</v>
      </c>
      <c r="CF155" s="4">
        <v>0</v>
      </c>
      <c r="CG155" s="4">
        <v>1</v>
      </c>
      <c r="CH155" s="4">
        <v>0</v>
      </c>
      <c r="CI155" s="106">
        <v>112000</v>
      </c>
      <c r="CJ155" s="121">
        <v>9100</v>
      </c>
      <c r="CK155" s="115">
        <f>+CI155/CJ155</f>
        <v>12.307692307692308</v>
      </c>
      <c r="CL155" s="3" t="str">
        <f>CONCATENATE(IF(CB155&gt;0,"kotlovnica/toplotna postaja, ",""),IF(CF155&gt;0,"razsvetljava, ",""),IF(CG155&gt;0,"energetsko upravljanje, ",""),IF(CH155&gt;0,"manjši investicijski in organizacijski ukrepi, ",""))</f>
        <v xml:space="preserve">kotlovnica/toplotna postaja, energetsko upravljanje, </v>
      </c>
      <c r="CM155" s="9">
        <f>+CJ155*0.9</f>
        <v>8190</v>
      </c>
      <c r="CN155" s="9">
        <f>+CJ155*0.9</f>
        <v>8190</v>
      </c>
      <c r="CO155" s="9">
        <f>+CJ155*0.9</f>
        <v>8190</v>
      </c>
      <c r="CP155" s="69">
        <f>+IF(CI155-SUM(CM155:CO155)&lt;0,0,CI155-SUM(CM155:CO155))</f>
        <v>87430</v>
      </c>
      <c r="CQ155" s="9">
        <f>+(BQ155*CE155*faktorji!$B$24)+(BQ155^0.5*CC155*4*4*0.66*faktorji!$B$22)+(BQ155^0.5*CD155*4*4*0.33*faktorji!$B$25)</f>
        <v>0</v>
      </c>
      <c r="CR155" s="3" t="str">
        <f t="shared" si="97"/>
        <v/>
      </c>
      <c r="CS155" s="9">
        <f>+BQ155*('MOL_tabela rezultatov'!CH155*faktorji!$B$26)+faktorji!$B$27*CG155</f>
        <v>18000</v>
      </c>
      <c r="CT155" s="3" t="str">
        <f t="shared" si="95"/>
        <v xml:space="preserve">energetsko upravljanje, </v>
      </c>
      <c r="CU155" s="9">
        <f t="shared" si="127"/>
        <v>4500</v>
      </c>
      <c r="CV155" s="9">
        <f t="shared" ref="CV155:CX155" si="130">+CU155</f>
        <v>4500</v>
      </c>
      <c r="CW155" s="9">
        <f t="shared" si="130"/>
        <v>4500</v>
      </c>
      <c r="CX155" s="69">
        <f t="shared" si="130"/>
        <v>4500</v>
      </c>
    </row>
    <row r="156" spans="1:102" s="10" customFormat="1" ht="18" hidden="1" customHeight="1">
      <c r="A156" s="53" t="s">
        <v>1388</v>
      </c>
      <c r="B156" s="3" t="s">
        <v>100</v>
      </c>
      <c r="C156" s="56" t="s">
        <v>1371</v>
      </c>
      <c r="D156" s="56" t="s">
        <v>1372</v>
      </c>
      <c r="E156" s="51" t="s">
        <v>1167</v>
      </c>
      <c r="F156" s="51"/>
      <c r="G156" s="51">
        <v>3</v>
      </c>
      <c r="H156" s="51"/>
      <c r="I156" s="51"/>
      <c r="J156" s="51">
        <v>7</v>
      </c>
      <c r="K156" s="37" t="s">
        <v>1243</v>
      </c>
      <c r="L156" s="50"/>
      <c r="M156" s="4" t="s">
        <v>5</v>
      </c>
      <c r="N156" s="25">
        <v>30.12</v>
      </c>
      <c r="O156" s="25"/>
      <c r="P156" s="25"/>
      <c r="Q156" s="25"/>
      <c r="R156" s="25"/>
      <c r="S156" s="25"/>
      <c r="T156" s="25">
        <v>58.45</v>
      </c>
      <c r="U156" s="25">
        <v>88.570000000000007</v>
      </c>
      <c r="V156" s="30">
        <v>110.70075757575758</v>
      </c>
      <c r="W156" s="30">
        <v>57.045454545454547</v>
      </c>
      <c r="X156" s="31">
        <v>21.64</v>
      </c>
      <c r="Y156" s="31"/>
      <c r="Z156" s="31"/>
      <c r="AA156" s="31"/>
      <c r="AB156" s="31"/>
      <c r="AC156" s="31">
        <v>57.31</v>
      </c>
      <c r="AD156" s="31"/>
      <c r="AE156" s="32">
        <v>40.984848484848484</v>
      </c>
      <c r="AF156" s="1" t="s">
        <v>101</v>
      </c>
      <c r="AG156" s="4"/>
      <c r="AH156" s="4">
        <v>2002</v>
      </c>
      <c r="AI156" s="6">
        <v>528</v>
      </c>
      <c r="AJ156" s="38">
        <v>100</v>
      </c>
      <c r="AK156" s="34" t="s">
        <v>92</v>
      </c>
      <c r="AL156" s="1" t="s">
        <v>95</v>
      </c>
      <c r="AM156" s="37">
        <v>38.270000000000003</v>
      </c>
      <c r="AN156" s="37">
        <v>42.73</v>
      </c>
      <c r="AO156" s="37">
        <v>45.55</v>
      </c>
      <c r="AP156" s="37">
        <v>50.31</v>
      </c>
      <c r="AQ156" s="37"/>
      <c r="AR156" s="37"/>
      <c r="AS156" s="37"/>
      <c r="AT156" s="37"/>
      <c r="AU156" s="37"/>
      <c r="AV156" s="37"/>
      <c r="AW156" s="37"/>
      <c r="AX156" s="37"/>
      <c r="AY156" s="37"/>
      <c r="AZ156" s="37"/>
      <c r="BA156" s="37"/>
      <c r="BB156" s="37"/>
      <c r="BC156" s="37">
        <v>61.3</v>
      </c>
      <c r="BD156" s="37">
        <v>64.7</v>
      </c>
      <c r="BE156" s="37">
        <v>60.8</v>
      </c>
      <c r="BF156" s="37">
        <v>58.3</v>
      </c>
      <c r="BG156" s="42">
        <v>44.215000000000003</v>
      </c>
      <c r="BH156" s="42">
        <v>2.8</v>
      </c>
      <c r="BI156" s="42"/>
      <c r="BJ156" s="42"/>
      <c r="BK156" s="44">
        <v>47.015000000000001</v>
      </c>
      <c r="BL156" s="44">
        <v>61.275000000000006</v>
      </c>
      <c r="BM156" s="44">
        <f>+BK156+BL156</f>
        <v>108.29</v>
      </c>
      <c r="BN156" s="47">
        <v>89.043560606060609</v>
      </c>
      <c r="BO156" s="47">
        <v>116.05113636363637</v>
      </c>
      <c r="BP156" s="45">
        <v>205.09469696969697</v>
      </c>
      <c r="BQ156" s="9">
        <v>528</v>
      </c>
      <c r="BR156" s="4">
        <v>67</v>
      </c>
      <c r="BS156" s="4"/>
      <c r="BT156" s="4" t="s">
        <v>872</v>
      </c>
      <c r="BU156" s="4"/>
      <c r="BV156" s="4"/>
      <c r="BW156" s="4"/>
      <c r="BX156" s="4"/>
      <c r="BY156" s="9">
        <f>+INT(BK156*faktorji!$B$3)</f>
        <v>3055</v>
      </c>
      <c r="BZ156" s="9">
        <f>+INT(BL156*faktorji!$B$4)</f>
        <v>10110</v>
      </c>
      <c r="CA156" s="4"/>
      <c r="CB156" s="4">
        <v>0</v>
      </c>
      <c r="CC156" s="4">
        <v>0</v>
      </c>
      <c r="CD156" s="4">
        <v>0</v>
      </c>
      <c r="CE156" s="4">
        <v>0</v>
      </c>
      <c r="CF156" s="4">
        <v>0</v>
      </c>
      <c r="CG156" s="4">
        <v>1</v>
      </c>
      <c r="CH156" s="4">
        <v>1</v>
      </c>
      <c r="CI156" s="9">
        <f>+BQ156*(CB156*faktorji!$B$21+'MOL_tabela rezultatov'!CF32*faktorji!$B$23+'MOL_tabela rezultatov'!CH32*faktorji!$B$26)+faktorji!$B$27*CG156</f>
        <v>26712</v>
      </c>
      <c r="CJ156" s="9">
        <f>+(BZ156*CF156*faktorji!$B$18)+(CG156*faktorji!$B$17*('MOL_tabela rezultatov'!BY32+'MOL_tabela rezultatov'!BZ32))+('MOL_tabela rezultatov'!CH32*faktorji!$B$16*'MOL_tabela rezultatov'!BY32)+('MOL_tabela rezultatov'!CB32*faktorji!$B$12*'MOL_tabela rezultatov'!BY32)</f>
        <v>8134.5</v>
      </c>
      <c r="CK156" s="66">
        <f>+CI156/CJ156</f>
        <v>3.2837912594504886</v>
      </c>
      <c r="CL156" s="3" t="str">
        <f>CONCATENATE(IF(CB156&gt;0,"kotlovnica/toplotna postaja, ",""),IF(CF156&gt;0,"razsvetljava, ",""),IF(CG156&gt;0,"energetsko upravljanje, ",""),IF(CH156&gt;0,"manjši investicijski in organizacijski ukrepi, ",""))</f>
        <v xml:space="preserve">energetsko upravljanje, manjši investicijski in organizacijski ukrepi, </v>
      </c>
      <c r="CM156" s="9">
        <f>+CJ156*0.9</f>
        <v>7321.05</v>
      </c>
      <c r="CN156" s="9">
        <f>+CJ156*0.9</f>
        <v>7321.05</v>
      </c>
      <c r="CO156" s="9">
        <f>+CJ156*0.9</f>
        <v>7321.05</v>
      </c>
      <c r="CP156" s="69">
        <f>+IF(CI156-SUM(CM156:CO156)&lt;0,0,CI156-SUM(CM156:CO156))</f>
        <v>4748.8499999999985</v>
      </c>
      <c r="CQ156" s="9">
        <f>+(BQ156*CE156*faktorji!$B$24)+(BQ156^0.5*CC156*4*4*0.66*faktorji!$B$22)+(BQ156^0.5*CD156*4*4*0.33*faktorji!$B$25)</f>
        <v>0</v>
      </c>
      <c r="CR156" s="3" t="str">
        <f t="shared" si="97"/>
        <v/>
      </c>
      <c r="CS156" s="9">
        <f>+BQ156*('MOL_tabela rezultatov'!CH156*faktorji!$B$26)+faktorji!$B$27*CG156</f>
        <v>18792</v>
      </c>
      <c r="CT156" s="3" t="str">
        <f t="shared" si="95"/>
        <v xml:space="preserve">energetsko upravljanje, manjši investicijski in organizacijski ukrepi, </v>
      </c>
      <c r="CU156" s="9">
        <f t="shared" si="127"/>
        <v>4698</v>
      </c>
      <c r="CV156" s="9">
        <f t="shared" ref="CV156:CX156" si="131">+CU156</f>
        <v>4698</v>
      </c>
      <c r="CW156" s="9">
        <f t="shared" si="131"/>
        <v>4698</v>
      </c>
      <c r="CX156" s="69">
        <f t="shared" si="131"/>
        <v>4698</v>
      </c>
    </row>
    <row r="157" spans="1:102" s="10" customFormat="1" ht="18" hidden="1" customHeight="1">
      <c r="A157" s="54" t="s">
        <v>771</v>
      </c>
      <c r="B157" s="3" t="s">
        <v>772</v>
      </c>
      <c r="C157" s="56"/>
      <c r="D157" s="56"/>
      <c r="E157" s="51" t="s">
        <v>1176</v>
      </c>
      <c r="F157" s="51"/>
      <c r="G157" s="51">
        <v>2</v>
      </c>
      <c r="H157" s="51" t="s">
        <v>1257</v>
      </c>
      <c r="I157" s="51"/>
      <c r="J157" s="51">
        <v>2</v>
      </c>
      <c r="K157" s="37" t="s">
        <v>1243</v>
      </c>
      <c r="L157" s="50"/>
      <c r="M157" s="4" t="s">
        <v>7</v>
      </c>
      <c r="N157" s="25"/>
      <c r="O157" s="25"/>
      <c r="P157" s="25">
        <v>156.09</v>
      </c>
      <c r="Q157" s="25"/>
      <c r="R157" s="25"/>
      <c r="S157" s="25"/>
      <c r="T157" s="25">
        <v>23.101281495993465</v>
      </c>
      <c r="U157" s="25">
        <v>179.19128149599348</v>
      </c>
      <c r="V157" s="30">
        <v>31.819946964178328</v>
      </c>
      <c r="W157" s="30">
        <v>215</v>
      </c>
      <c r="X157" s="31"/>
      <c r="Y157" s="31"/>
      <c r="Z157" s="31"/>
      <c r="AA157" s="31"/>
      <c r="AB157" s="31"/>
      <c r="AC157" s="31"/>
      <c r="AD157" s="31"/>
      <c r="AE157" s="32"/>
      <c r="AF157" s="16"/>
      <c r="AG157" s="3"/>
      <c r="AH157" s="4"/>
      <c r="AI157" s="6">
        <v>726</v>
      </c>
      <c r="AJ157" s="38">
        <v>100</v>
      </c>
      <c r="AK157" s="3"/>
      <c r="AL157" s="1"/>
      <c r="AM157" s="37"/>
      <c r="AN157" s="37"/>
      <c r="AO157" s="37"/>
      <c r="AP157" s="37"/>
      <c r="AQ157" s="37"/>
      <c r="AR157" s="37"/>
      <c r="AS157" s="37">
        <f>(18057*9.5)/1000</f>
        <v>171.54150000000001</v>
      </c>
      <c r="AT157" s="37">
        <f>(15850*9.5)/1000</f>
        <v>150.57499999999999</v>
      </c>
      <c r="AU157" s="37">
        <v>100</v>
      </c>
      <c r="AV157" s="37">
        <v>80</v>
      </c>
      <c r="AW157" s="37"/>
      <c r="AX157" s="37"/>
      <c r="AY157" s="37"/>
      <c r="AZ157" s="37"/>
      <c r="BA157" s="37"/>
      <c r="BB157" s="37"/>
      <c r="BC157" s="37">
        <v>28.3</v>
      </c>
      <c r="BD157" s="37">
        <v>49.6</v>
      </c>
      <c r="BE157" s="37">
        <v>49.8</v>
      </c>
      <c r="BF157" s="37">
        <v>48.9</v>
      </c>
      <c r="BG157" s="42"/>
      <c r="BH157" s="42">
        <v>125.52912500000001</v>
      </c>
      <c r="BI157" s="42"/>
      <c r="BJ157" s="42"/>
      <c r="BK157" s="44">
        <v>125.52912500000001</v>
      </c>
      <c r="BL157" s="44">
        <v>44.15</v>
      </c>
      <c r="BM157" s="44">
        <f>+BK157+BL157</f>
        <v>169.679125</v>
      </c>
      <c r="BN157" s="47">
        <v>189.0498870481928</v>
      </c>
      <c r="BO157" s="47">
        <v>66.490963855421683</v>
      </c>
      <c r="BP157" s="45">
        <v>255.54085090361446</v>
      </c>
      <c r="BQ157" s="9">
        <v>664</v>
      </c>
      <c r="BR157" s="4"/>
      <c r="BS157" s="4"/>
      <c r="BT157" s="4" t="s">
        <v>872</v>
      </c>
      <c r="BU157" s="4"/>
      <c r="BV157" s="4" t="s">
        <v>950</v>
      </c>
      <c r="BW157" s="4"/>
      <c r="BX157" s="4"/>
      <c r="BY157" s="9">
        <f>+INT(BK157*faktorji!$B$6)</f>
        <v>15691</v>
      </c>
      <c r="BZ157" s="9">
        <f>+INT(BL157*faktorji!$B$4)</f>
        <v>7284</v>
      </c>
      <c r="CA157" s="3" t="s">
        <v>1304</v>
      </c>
      <c r="CB157" s="4">
        <v>1</v>
      </c>
      <c r="CC157" s="4">
        <v>1</v>
      </c>
      <c r="CD157" s="4">
        <v>0</v>
      </c>
      <c r="CE157" s="4">
        <v>0</v>
      </c>
      <c r="CF157" s="4">
        <v>1</v>
      </c>
      <c r="CG157" s="4">
        <v>1</v>
      </c>
      <c r="CH157" s="4">
        <v>1</v>
      </c>
      <c r="CI157" s="9" t="e">
        <f>+BQ157*(CB157*faktorji!$B$21+'MOL_tabela rezultatov'!#REF!*faktorji!$B$23+'MOL_tabela rezultatov'!#REF!*faktorji!$B$26)+faktorji!$B$27*CG157</f>
        <v>#REF!</v>
      </c>
      <c r="CJ157" s="9" t="e">
        <f>+(BZ157*CF157*faktorji!$B$18)+(CG157*faktorji!$B$17*('MOL_tabela rezultatov'!#REF!+'MOL_tabela rezultatov'!#REF!))+('MOL_tabela rezultatov'!#REF!*faktorji!$B$16*'MOL_tabela rezultatov'!#REF!)+('MOL_tabela rezultatov'!#REF!*faktorji!$B$12*'MOL_tabela rezultatov'!#REF!)</f>
        <v>#REF!</v>
      </c>
      <c r="CK157" s="66" t="e">
        <f>+CI157/CJ157</f>
        <v>#REF!</v>
      </c>
      <c r="CL157" s="3" t="str">
        <f>CONCATENATE(IF(CB157&gt;0,"kotlovnica/toplotna postaja, ",""),IF(CF157&gt;0,"razsvetljava, ",""),IF(CG157&gt;0,"energetsko upravljanje, ",""),IF(CH157&gt;0,"manjši investicijski in organizacijski ukrepi, ",""))</f>
        <v xml:space="preserve">kotlovnica/toplotna postaja, razsvetljava, energetsko upravljanje, manjši investicijski in organizacijski ukrepi, </v>
      </c>
      <c r="CM157" s="9" t="e">
        <f>+CJ157*0.9</f>
        <v>#REF!</v>
      </c>
      <c r="CN157" s="9" t="e">
        <f>+CJ157*0.9</f>
        <v>#REF!</v>
      </c>
      <c r="CO157" s="9" t="e">
        <f>+CJ157*0.9</f>
        <v>#REF!</v>
      </c>
      <c r="CP157" s="69" t="e">
        <f>+IF(CI157-SUM(CM157:CO157)&lt;0,0,CI157-SUM(CM157:CO157))</f>
        <v>#REF!</v>
      </c>
      <c r="CQ157" s="9">
        <f>+(BQ157*CE157*faktorji!$B$24)+(BQ157^0.5*CC157*4*4*0.66*faktorji!$B$22)+(BQ157^0.5*CD157*4*4*0.33*faktorji!$B$25)</f>
        <v>19047.851557590428</v>
      </c>
      <c r="CR157" s="3" t="str">
        <f t="shared" si="97"/>
        <v xml:space="preserve">izolacija ovoja, </v>
      </c>
      <c r="CS157" s="9">
        <f>+BQ157*('MOL_tabela rezultatov'!CH157*faktorji!$B$26)+faktorji!$B$27*CG157</f>
        <v>18996</v>
      </c>
      <c r="CT157" s="3" t="str">
        <f t="shared" si="95"/>
        <v xml:space="preserve">energetsko upravljanje, manjši investicijski in organizacijski ukrepi, </v>
      </c>
      <c r="CU157" s="9">
        <f t="shared" si="127"/>
        <v>4749</v>
      </c>
      <c r="CV157" s="9">
        <f t="shared" ref="CV157:CX157" si="132">+CU157</f>
        <v>4749</v>
      </c>
      <c r="CW157" s="9">
        <f t="shared" si="132"/>
        <v>4749</v>
      </c>
      <c r="CX157" s="69">
        <f t="shared" si="132"/>
        <v>4749</v>
      </c>
    </row>
    <row r="158" spans="1:102" s="10" customFormat="1" ht="18" hidden="1" customHeight="1">
      <c r="A158" s="53" t="s">
        <v>171</v>
      </c>
      <c r="B158" s="2" t="s">
        <v>172</v>
      </c>
      <c r="C158" s="57"/>
      <c r="D158" s="57"/>
      <c r="E158" s="51" t="s">
        <v>1170</v>
      </c>
      <c r="F158" s="51"/>
      <c r="G158" s="51">
        <v>3</v>
      </c>
      <c r="H158" s="51"/>
      <c r="I158" s="51"/>
      <c r="J158" s="51">
        <v>7</v>
      </c>
      <c r="K158" s="37" t="s">
        <v>1243</v>
      </c>
      <c r="L158" s="50"/>
      <c r="M158" s="4" t="s">
        <v>5</v>
      </c>
      <c r="N158" s="25">
        <v>243.28</v>
      </c>
      <c r="O158" s="25"/>
      <c r="P158" s="25"/>
      <c r="Q158" s="25"/>
      <c r="R158" s="25"/>
      <c r="S158" s="25"/>
      <c r="T158" s="25">
        <v>116.92</v>
      </c>
      <c r="U158" s="25">
        <v>360.2</v>
      </c>
      <c r="V158" s="30">
        <v>42.210757750251815</v>
      </c>
      <c r="W158" s="30">
        <v>87.829568469733672</v>
      </c>
      <c r="X158" s="31">
        <v>290.10000000000002</v>
      </c>
      <c r="Y158" s="31"/>
      <c r="Z158" s="31"/>
      <c r="AA158" s="31"/>
      <c r="AB158" s="31"/>
      <c r="AC158" s="31"/>
      <c r="AD158" s="31"/>
      <c r="AE158" s="32">
        <v>104.73264474297</v>
      </c>
      <c r="AF158" s="1" t="s">
        <v>173</v>
      </c>
      <c r="AG158" s="4"/>
      <c r="AH158" s="4"/>
      <c r="AI158" s="6">
        <v>2769.91</v>
      </c>
      <c r="AJ158" s="38">
        <v>70</v>
      </c>
      <c r="AK158" s="16" t="s">
        <v>174</v>
      </c>
      <c r="AL158" s="1" t="s">
        <v>26</v>
      </c>
      <c r="AM158" s="37"/>
      <c r="AN158" s="37"/>
      <c r="AO158" s="37"/>
      <c r="AP158" s="37"/>
      <c r="AQ158" s="37"/>
      <c r="AR158" s="37"/>
      <c r="AS158" s="37"/>
      <c r="AT158" s="37"/>
      <c r="AU158" s="37"/>
      <c r="AV158" s="37"/>
      <c r="AW158" s="37"/>
      <c r="AX158" s="37"/>
      <c r="AY158" s="37"/>
      <c r="AZ158" s="37"/>
      <c r="BA158" s="37"/>
      <c r="BB158" s="37"/>
      <c r="BC158" s="37">
        <v>136.30000000000001</v>
      </c>
      <c r="BD158" s="37">
        <v>140.1</v>
      </c>
      <c r="BE158" s="37">
        <v>155.9</v>
      </c>
      <c r="BF158" s="37">
        <v>191.6</v>
      </c>
      <c r="BG158" s="42">
        <v>304.10000000000002</v>
      </c>
      <c r="BH158" s="42"/>
      <c r="BI158" s="42"/>
      <c r="BJ158" s="42"/>
      <c r="BK158" s="44">
        <v>304.10000000000002</v>
      </c>
      <c r="BL158" s="44">
        <v>155.97499999999999</v>
      </c>
      <c r="BM158" s="44">
        <f>+BK158+BL158</f>
        <v>460.07500000000005</v>
      </c>
      <c r="BN158" s="47">
        <v>78.436935775083825</v>
      </c>
      <c r="BO158" s="47">
        <v>40.230848594273922</v>
      </c>
      <c r="BP158" s="45">
        <v>118.66778436935776</v>
      </c>
      <c r="BQ158" s="9">
        <v>3877</v>
      </c>
      <c r="BR158" s="4" t="s">
        <v>1133</v>
      </c>
      <c r="BS158" s="4">
        <v>2011</v>
      </c>
      <c r="BT158" s="1" t="s">
        <v>1134</v>
      </c>
      <c r="BU158" s="4" t="s">
        <v>1135</v>
      </c>
      <c r="BV158" s="4" t="s">
        <v>1136</v>
      </c>
      <c r="BW158" s="1" t="s">
        <v>1130</v>
      </c>
      <c r="BX158" s="4"/>
      <c r="BY158" s="9">
        <f>+INT(BK158*faktorji!$B$3)</f>
        <v>19766</v>
      </c>
      <c r="BZ158" s="9">
        <f>+INT(BL158*faktorji!$B$4)</f>
        <v>25735</v>
      </c>
      <c r="CA158" s="4"/>
      <c r="CB158" s="4">
        <v>0</v>
      </c>
      <c r="CC158" s="4">
        <v>1</v>
      </c>
      <c r="CD158" s="4">
        <v>0</v>
      </c>
      <c r="CE158" s="4">
        <v>0</v>
      </c>
      <c r="CF158" s="4">
        <v>1</v>
      </c>
      <c r="CG158" s="4">
        <v>1</v>
      </c>
      <c r="CH158" s="4">
        <v>1</v>
      </c>
      <c r="CI158" s="9">
        <f>+BQ158*(CB158*faktorji!$B$21+'MOL_tabela rezultatov'!CF63*faktorji!$B$23+'MOL_tabela rezultatov'!CH63*faktorji!$B$26)+faktorji!$B$27*CG158</f>
        <v>81970.5</v>
      </c>
      <c r="CJ158" s="9">
        <f>+(BZ158*CF158*faktorji!$B$18)+(CG158*faktorji!$B$17*('MOL_tabela rezultatov'!BY63+'MOL_tabela rezultatov'!BZ63))+('MOL_tabela rezultatov'!CH63*faktorji!$B$16*'MOL_tabela rezultatov'!BY63)+('MOL_tabela rezultatov'!CB63*faktorji!$B$12*'MOL_tabela rezultatov'!BY63)</f>
        <v>32810.25</v>
      </c>
      <c r="CK158" s="66">
        <f>+CI158/CJ158</f>
        <v>2.4983198847921</v>
      </c>
      <c r="CL158" s="3" t="str">
        <f>CONCATENATE(IF(CB158&gt;0,"kotlovnica/toplotna postaja, ",""),IF(CF158&gt;0,"razsvetljava, ",""),IF(CG158&gt;0,"energetsko upravljanje, ",""),IF(CH158&gt;0,"manjši investicijski in organizacijski ukrepi, ",""))</f>
        <v xml:space="preserve">razsvetljava, energetsko upravljanje, manjši investicijski in organizacijski ukrepi, </v>
      </c>
      <c r="CM158" s="9">
        <f>+CJ158*0.9</f>
        <v>29529.225000000002</v>
      </c>
      <c r="CN158" s="9">
        <f>+CJ158*0.9</f>
        <v>29529.225000000002</v>
      </c>
      <c r="CO158" s="9">
        <f>+CJ158*0.9</f>
        <v>29529.225000000002</v>
      </c>
      <c r="CP158" s="69">
        <f>+IF(CI158-SUM(CM158:CO158)&lt;0,0,CI158-SUM(CM158:CO158))</f>
        <v>0</v>
      </c>
      <c r="CQ158" s="9">
        <f>+(BQ158*CE158*faktorji!$B$24)+(BQ158^0.5*CC158*4*4*0.66*faktorji!$B$22)+(BQ158^0.5*CD158*4*4*0.33*faktorji!$B$25)</f>
        <v>46026.702176888582</v>
      </c>
      <c r="CR158" s="3" t="str">
        <f t="shared" si="97"/>
        <v xml:space="preserve">izolacija ovoja, </v>
      </c>
      <c r="CS158" s="9">
        <f>+BQ158*('MOL_tabela rezultatov'!CH158*faktorji!$B$26)+faktorji!$B$27*CG158</f>
        <v>23815.5</v>
      </c>
      <c r="CT158" s="3" t="str">
        <f t="shared" si="95"/>
        <v xml:space="preserve">energetsko upravljanje, manjši investicijski in organizacijski ukrepi, </v>
      </c>
      <c r="CU158" s="9">
        <f t="shared" si="127"/>
        <v>5953.875</v>
      </c>
      <c r="CV158" s="9">
        <f t="shared" ref="CV158:CX158" si="133">+CU158</f>
        <v>5953.875</v>
      </c>
      <c r="CW158" s="9">
        <f t="shared" si="133"/>
        <v>5953.875</v>
      </c>
      <c r="CX158" s="69">
        <f t="shared" si="133"/>
        <v>5953.875</v>
      </c>
    </row>
    <row r="159" spans="1:102" s="10" customFormat="1" ht="18" hidden="1" customHeight="1">
      <c r="A159" s="54" t="s">
        <v>19</v>
      </c>
      <c r="B159" s="3" t="s">
        <v>20</v>
      </c>
      <c r="C159" s="56"/>
      <c r="D159" s="56"/>
      <c r="E159" s="51" t="s">
        <v>1168</v>
      </c>
      <c r="F159" s="51" t="s">
        <v>1255</v>
      </c>
      <c r="G159" s="51">
        <v>2</v>
      </c>
      <c r="H159" s="51"/>
      <c r="I159" s="51"/>
      <c r="J159" s="51">
        <v>7</v>
      </c>
      <c r="K159" s="37" t="s">
        <v>1241</v>
      </c>
      <c r="L159" s="50"/>
      <c r="M159" s="4" t="s">
        <v>5</v>
      </c>
      <c r="N159" s="25">
        <v>16.366352409413675</v>
      </c>
      <c r="O159" s="25"/>
      <c r="P159" s="25"/>
      <c r="Q159" s="25"/>
      <c r="R159" s="25"/>
      <c r="S159" s="25"/>
      <c r="T159" s="25">
        <v>20.440000000000001</v>
      </c>
      <c r="U159" s="25">
        <v>36.806352409413677</v>
      </c>
      <c r="V159" s="30">
        <v>210.54800164812528</v>
      </c>
      <c r="W159" s="30">
        <v>168.58624237138108</v>
      </c>
      <c r="X159" s="31"/>
      <c r="Y159" s="31"/>
      <c r="Z159" s="31"/>
      <c r="AA159" s="31"/>
      <c r="AB159" s="31"/>
      <c r="AC159" s="31">
        <v>21.63</v>
      </c>
      <c r="AD159" s="31"/>
      <c r="AE159" s="32">
        <v>0</v>
      </c>
      <c r="AF159" s="1"/>
      <c r="AG159" s="4"/>
      <c r="AH159" s="4" t="s">
        <v>21</v>
      </c>
      <c r="AI159" s="6">
        <v>97.08</v>
      </c>
      <c r="AJ159" s="38">
        <v>100</v>
      </c>
      <c r="AK159" s="3" t="s">
        <v>13</v>
      </c>
      <c r="AL159" s="1" t="s">
        <v>18</v>
      </c>
      <c r="AM159" s="37"/>
      <c r="AN159" s="37"/>
      <c r="AO159" s="37"/>
      <c r="AP159" s="37"/>
      <c r="AQ159" s="37"/>
      <c r="AR159" s="37"/>
      <c r="AS159" s="37"/>
      <c r="AT159" s="37"/>
      <c r="AU159" s="37"/>
      <c r="AV159" s="37"/>
      <c r="AW159" s="37"/>
      <c r="AX159" s="37"/>
      <c r="AY159" s="37"/>
      <c r="AZ159" s="37"/>
      <c r="BA159" s="37"/>
      <c r="BB159" s="37"/>
      <c r="BC159" s="37"/>
      <c r="BD159" s="37"/>
      <c r="BE159" s="37"/>
      <c r="BF159" s="37"/>
      <c r="BG159" s="42">
        <v>10.1074</v>
      </c>
      <c r="BH159" s="42"/>
      <c r="BI159" s="42"/>
      <c r="BJ159" s="42"/>
      <c r="BK159" s="44">
        <v>10.1074</v>
      </c>
      <c r="BL159" s="44">
        <v>20.440000000000001</v>
      </c>
      <c r="BM159" s="44">
        <f>+BK159+BL159</f>
        <v>30.547400000000003</v>
      </c>
      <c r="BN159" s="47">
        <v>104.2</v>
      </c>
      <c r="BO159" s="47">
        <v>210.72164948453607</v>
      </c>
      <c r="BP159" s="45">
        <v>314.92164948453609</v>
      </c>
      <c r="BQ159" s="9">
        <v>97</v>
      </c>
      <c r="BR159" s="4"/>
      <c r="BS159" s="4"/>
      <c r="BT159" s="4"/>
      <c r="BU159" s="4"/>
      <c r="BV159" s="4"/>
      <c r="BW159" s="4"/>
      <c r="BX159" s="4"/>
      <c r="BY159" s="9">
        <f>+INT(BK159*faktorji!$B$3)</f>
        <v>656</v>
      </c>
      <c r="BZ159" s="9">
        <f>+INT(BL159*faktorji!$B$4)</f>
        <v>3372</v>
      </c>
      <c r="CA159" s="3" t="s">
        <v>1313</v>
      </c>
      <c r="CB159" s="4">
        <v>0</v>
      </c>
      <c r="CC159" s="4">
        <v>0</v>
      </c>
      <c r="CD159" s="4">
        <v>0</v>
      </c>
      <c r="CE159" s="4">
        <v>0</v>
      </c>
      <c r="CF159" s="4">
        <v>0</v>
      </c>
      <c r="CG159" s="4">
        <v>1</v>
      </c>
      <c r="CH159" s="4">
        <v>1</v>
      </c>
      <c r="CI159" s="9">
        <f>+BQ159*(CB159*faktorji!$B$21+'MOL_tabela rezultatov'!CF5*faktorji!$B$23+'MOL_tabela rezultatov'!CH5*faktorji!$B$26)+faktorji!$B$27*CG159</f>
        <v>19600.5</v>
      </c>
      <c r="CJ159" s="9">
        <f>+(BZ159*CF159*faktorji!$B$18)+(CG159*faktorji!$B$17*('MOL_tabela rezultatov'!BY5+'MOL_tabela rezultatov'!BZ5))+('MOL_tabela rezultatov'!CH5*faktorji!$B$16*'MOL_tabela rezultatov'!BY5)+('MOL_tabela rezultatov'!CB5*faktorji!$B$12*'MOL_tabela rezultatov'!BY5)</f>
        <v>0</v>
      </c>
      <c r="CK159" s="66" t="e">
        <f>+CI159/CJ159</f>
        <v>#DIV/0!</v>
      </c>
      <c r="CL159" s="3" t="str">
        <f>CONCATENATE(IF(CB159&gt;0,"kotlovnica/toplotna postaja, ",""),IF(CF159&gt;0,"razsvetljava, ",""),IF(CG159&gt;0,"energetsko upravljanje, ",""),IF(CH159&gt;0,"manjši investicijski in organizacijski ukrepi, ",""))</f>
        <v xml:space="preserve">energetsko upravljanje, manjši investicijski in organizacijski ukrepi, </v>
      </c>
      <c r="CM159" s="9">
        <f>+CJ159*0.9</f>
        <v>0</v>
      </c>
      <c r="CN159" s="9">
        <f>+CJ159*0.9</f>
        <v>0</v>
      </c>
      <c r="CO159" s="9">
        <f>+CJ159*0.9</f>
        <v>0</v>
      </c>
      <c r="CP159" s="69">
        <f>+IF(CI159-SUM(CM159:CO159)&lt;0,0,CI159-SUM(CM159:CO159))</f>
        <v>19600.5</v>
      </c>
      <c r="CQ159" s="9">
        <f>+(BQ159*CE159*faktorji!$B$24)+(BQ159^0.5*CC159*4*4*0.66*faktorji!$B$22)+(BQ159^0.5*CD159*4*4*0.33*faktorji!$B$25)</f>
        <v>0</v>
      </c>
      <c r="CR159" s="3" t="str">
        <f t="shared" si="97"/>
        <v/>
      </c>
      <c r="CS159" s="9">
        <f>+BQ159*('MOL_tabela rezultatov'!CH159*faktorji!$B$26)+faktorji!$B$27*CG159</f>
        <v>18145.5</v>
      </c>
      <c r="CT159" s="3" t="str">
        <f t="shared" si="95"/>
        <v xml:space="preserve">energetsko upravljanje, manjši investicijski in organizacijski ukrepi, </v>
      </c>
      <c r="CU159" s="9">
        <f t="shared" si="127"/>
        <v>4536.375</v>
      </c>
      <c r="CV159" s="9">
        <f t="shared" ref="CV159:CX159" si="134">+CU159</f>
        <v>4536.375</v>
      </c>
      <c r="CW159" s="9">
        <f t="shared" si="134"/>
        <v>4536.375</v>
      </c>
      <c r="CX159" s="69">
        <f t="shared" si="134"/>
        <v>4536.375</v>
      </c>
    </row>
    <row r="160" spans="1:102" s="10" customFormat="1" ht="18" hidden="1" customHeight="1">
      <c r="A160" s="54" t="s">
        <v>96</v>
      </c>
      <c r="B160" s="3" t="s">
        <v>90</v>
      </c>
      <c r="C160" s="56" t="s">
        <v>1367</v>
      </c>
      <c r="D160" s="56" t="s">
        <v>1368</v>
      </c>
      <c r="E160" s="51" t="s">
        <v>1167</v>
      </c>
      <c r="F160" s="51"/>
      <c r="G160" s="51">
        <v>2</v>
      </c>
      <c r="H160" s="51" t="s">
        <v>1255</v>
      </c>
      <c r="I160" s="51"/>
      <c r="J160" s="51">
        <v>4</v>
      </c>
      <c r="K160" s="37" t="s">
        <v>1243</v>
      </c>
      <c r="L160" s="50"/>
      <c r="M160" s="110" t="s">
        <v>5</v>
      </c>
      <c r="N160" s="25">
        <v>566.26</v>
      </c>
      <c r="O160" s="25"/>
      <c r="P160" s="25"/>
      <c r="Q160" s="25"/>
      <c r="R160" s="25"/>
      <c r="S160" s="25"/>
      <c r="T160" s="25">
        <v>319.3</v>
      </c>
      <c r="U160" s="25">
        <v>885.56</v>
      </c>
      <c r="V160" s="30">
        <v>88.891982182628055</v>
      </c>
      <c r="W160" s="30">
        <v>157.64476614699331</v>
      </c>
      <c r="X160" s="31">
        <v>474.33</v>
      </c>
      <c r="Y160" s="31"/>
      <c r="Z160" s="31"/>
      <c r="AA160" s="31"/>
      <c r="AB160" s="31"/>
      <c r="AC160" s="31">
        <v>316.13</v>
      </c>
      <c r="AD160" s="31"/>
      <c r="AE160" s="32">
        <v>132.05178173719378</v>
      </c>
      <c r="AF160" s="1">
        <v>475</v>
      </c>
      <c r="AG160" s="4"/>
      <c r="AH160" s="4" t="s">
        <v>91</v>
      </c>
      <c r="AI160" s="6">
        <v>3592</v>
      </c>
      <c r="AJ160" s="38">
        <v>100</v>
      </c>
      <c r="AK160" s="34" t="s">
        <v>92</v>
      </c>
      <c r="AL160" s="1" t="s">
        <v>93</v>
      </c>
      <c r="AM160" s="37">
        <v>631</v>
      </c>
      <c r="AN160" s="37">
        <v>550</v>
      </c>
      <c r="AO160" s="37">
        <v>574</v>
      </c>
      <c r="AP160" s="37">
        <v>520</v>
      </c>
      <c r="AQ160" s="37"/>
      <c r="AR160" s="37"/>
      <c r="AS160" s="37"/>
      <c r="AT160" s="37"/>
      <c r="AU160" s="37"/>
      <c r="AV160" s="37"/>
      <c r="AW160" s="37"/>
      <c r="AX160" s="37"/>
      <c r="AY160" s="37"/>
      <c r="AZ160" s="37"/>
      <c r="BA160" s="37"/>
      <c r="BB160" s="37"/>
      <c r="BC160" s="37">
        <v>324</v>
      </c>
      <c r="BD160" s="37">
        <v>327</v>
      </c>
      <c r="BE160" s="37">
        <v>333.3</v>
      </c>
      <c r="BF160" s="37">
        <v>351</v>
      </c>
      <c r="BG160" s="42">
        <v>568.75</v>
      </c>
      <c r="BH160" s="42"/>
      <c r="BI160" s="42"/>
      <c r="BJ160" s="42"/>
      <c r="BK160" s="107">
        <v>723.8</v>
      </c>
      <c r="BL160" s="107">
        <v>370.2</v>
      </c>
      <c r="BM160" s="107">
        <f>+BK160+BL160</f>
        <v>1094</v>
      </c>
      <c r="BN160" s="108">
        <f>+BK160/BQ160*1000</f>
        <v>202.06588498045784</v>
      </c>
      <c r="BO160" s="108">
        <f>+BL160*1000/BQ160</f>
        <v>103.35008375209381</v>
      </c>
      <c r="BP160" s="109">
        <f>+BO160+BN160</f>
        <v>305.41596873255162</v>
      </c>
      <c r="BQ160" s="106">
        <v>3582</v>
      </c>
      <c r="BR160" s="110">
        <v>475.5</v>
      </c>
      <c r="BS160" s="110">
        <v>2009</v>
      </c>
      <c r="BT160" s="110" t="s">
        <v>872</v>
      </c>
      <c r="BU160" s="1" t="s">
        <v>1095</v>
      </c>
      <c r="BV160" s="4" t="s">
        <v>913</v>
      </c>
      <c r="BW160" s="1" t="s">
        <v>1096</v>
      </c>
      <c r="BX160" s="4"/>
      <c r="BY160" s="106">
        <v>34782</v>
      </c>
      <c r="BZ160" s="106">
        <v>61339</v>
      </c>
      <c r="CA160" s="111" t="s">
        <v>1406</v>
      </c>
      <c r="CB160" s="4">
        <v>1</v>
      </c>
      <c r="CC160" s="4">
        <v>1</v>
      </c>
      <c r="CD160" s="4">
        <v>1</v>
      </c>
      <c r="CE160" s="4">
        <v>1</v>
      </c>
      <c r="CF160" s="4">
        <v>1</v>
      </c>
      <c r="CG160" s="4">
        <v>1</v>
      </c>
      <c r="CH160" s="4">
        <v>1</v>
      </c>
      <c r="CI160" s="106">
        <v>73000</v>
      </c>
      <c r="CJ160" s="106">
        <v>14300</v>
      </c>
      <c r="CK160" s="66">
        <f>+CI160/CJ160</f>
        <v>5.104895104895105</v>
      </c>
      <c r="CL160" s="3" t="str">
        <f>CONCATENATE(IF(CB160&gt;0,"kotlovnica/toplotna postaja, ",""),IF(CF160&gt;0,"razsvetljava, ",""),IF(CG160&gt;0,"energetsko upravljanje, ",""),IF(CH160&gt;0,"manjši investicijski in organizacijski ukrepi, ",""))</f>
        <v xml:space="preserve">kotlovnica/toplotna postaja, razsvetljava, energetsko upravljanje, manjši investicijski in organizacijski ukrepi, </v>
      </c>
      <c r="CM160" s="9">
        <f>+CJ160*0.9</f>
        <v>12870</v>
      </c>
      <c r="CN160" s="9">
        <f>+CJ160*0.9</f>
        <v>12870</v>
      </c>
      <c r="CO160" s="9">
        <f>+CJ160*0.9</f>
        <v>12870</v>
      </c>
      <c r="CP160" s="69">
        <f>+IF(CI160-SUM(CM160:CO160)&lt;0,0,CI160-SUM(CM160:CO160))</f>
        <v>34390</v>
      </c>
      <c r="CQ160" s="9">
        <f>+(BQ160*CE160*faktorji!$B$24)+(BQ160^0.5*CC160*4*4*0.66*faktorji!$B$22)+(BQ160^0.5*CD160*4*4*0.33*faktorji!$B$25)</f>
        <v>194882.732931723</v>
      </c>
      <c r="CR160" s="3" t="str">
        <f t="shared" si="97"/>
        <v xml:space="preserve">izolacija ovoja, stavbno pohištvo, izolacija podstrešja, </v>
      </c>
      <c r="CS160" s="9">
        <f>+BQ160*('MOL_tabela rezultatov'!CH160*faktorji!$B$26)+faktorji!$B$27*CG160</f>
        <v>23373</v>
      </c>
      <c r="CT160" s="3" t="str">
        <f t="shared" si="95"/>
        <v xml:space="preserve">energetsko upravljanje, manjši investicijski in organizacijski ukrepi, </v>
      </c>
      <c r="CU160" s="9">
        <f t="shared" si="127"/>
        <v>5843.25</v>
      </c>
      <c r="CV160" s="9">
        <f t="shared" ref="CV160:CX160" si="135">+CU160</f>
        <v>5843.25</v>
      </c>
      <c r="CW160" s="9">
        <f t="shared" si="135"/>
        <v>5843.25</v>
      </c>
      <c r="CX160" s="69">
        <f t="shared" si="135"/>
        <v>5843.25</v>
      </c>
    </row>
    <row r="161" spans="1:102" s="10" customFormat="1" ht="18" hidden="1" customHeight="1">
      <c r="A161" s="54" t="s">
        <v>55</v>
      </c>
      <c r="B161" s="135" t="s">
        <v>56</v>
      </c>
      <c r="C161" s="56"/>
      <c r="D161" s="56"/>
      <c r="E161" s="51" t="s">
        <v>1168</v>
      </c>
      <c r="F161" s="51" t="s">
        <v>1255</v>
      </c>
      <c r="G161" s="51">
        <v>2</v>
      </c>
      <c r="H161" s="51"/>
      <c r="I161" s="51"/>
      <c r="J161" s="51">
        <v>7</v>
      </c>
      <c r="K161" s="37" t="s">
        <v>1244</v>
      </c>
      <c r="L161" s="50"/>
      <c r="M161" s="4" t="s">
        <v>5</v>
      </c>
      <c r="N161" s="25">
        <v>11.24</v>
      </c>
      <c r="O161" s="25"/>
      <c r="P161" s="25"/>
      <c r="Q161" s="25"/>
      <c r="R161" s="25"/>
      <c r="S161" s="25"/>
      <c r="T161" s="25">
        <v>13.95</v>
      </c>
      <c r="U161" s="25">
        <v>25.189999999999998</v>
      </c>
      <c r="V161" s="30">
        <v>132.29018492176385</v>
      </c>
      <c r="W161" s="30">
        <v>106.59080132764343</v>
      </c>
      <c r="X161" s="31"/>
      <c r="Y161" s="31"/>
      <c r="Z161" s="31"/>
      <c r="AA161" s="31"/>
      <c r="AB161" s="31"/>
      <c r="AC161" s="31">
        <v>7.99</v>
      </c>
      <c r="AD161" s="31"/>
      <c r="AE161" s="32">
        <v>0</v>
      </c>
      <c r="AF161" s="1"/>
      <c r="AG161" s="4"/>
      <c r="AH161" s="4" t="s">
        <v>12</v>
      </c>
      <c r="AI161" s="6">
        <v>105.45</v>
      </c>
      <c r="AJ161" s="38">
        <v>100</v>
      </c>
      <c r="AK161" s="3" t="s">
        <v>57</v>
      </c>
      <c r="AL161" s="1" t="s">
        <v>18</v>
      </c>
      <c r="AM161" s="37"/>
      <c r="AN161" s="37"/>
      <c r="AO161" s="37"/>
      <c r="AP161" s="37"/>
      <c r="AQ161" s="37"/>
      <c r="AR161" s="37"/>
      <c r="AS161" s="37"/>
      <c r="AT161" s="37"/>
      <c r="AU161" s="37"/>
      <c r="AV161" s="37"/>
      <c r="AW161" s="37"/>
      <c r="AX161" s="37"/>
      <c r="AY161" s="37"/>
      <c r="AZ161" s="37"/>
      <c r="BA161" s="37"/>
      <c r="BB161" s="37"/>
      <c r="BC161" s="37"/>
      <c r="BD161" s="37"/>
      <c r="BE161" s="37"/>
      <c r="BF161" s="37"/>
      <c r="BG161" s="42">
        <v>6.63</v>
      </c>
      <c r="BH161" s="42"/>
      <c r="BI161" s="42"/>
      <c r="BJ161" s="42"/>
      <c r="BK161" s="44">
        <v>6.63</v>
      </c>
      <c r="BL161" s="44">
        <v>13.95</v>
      </c>
      <c r="BM161" s="44">
        <f>+BK161+BL161</f>
        <v>20.58</v>
      </c>
      <c r="BN161" s="47">
        <v>62.873399715504974</v>
      </c>
      <c r="BO161" s="47">
        <v>132.29018492176385</v>
      </c>
      <c r="BP161" s="45">
        <v>195.16358463726885</v>
      </c>
      <c r="BQ161" s="9">
        <v>105.45</v>
      </c>
      <c r="BR161" s="4"/>
      <c r="BS161" s="4"/>
      <c r="BT161" s="4"/>
      <c r="BU161" s="4"/>
      <c r="BV161" s="4"/>
      <c r="BW161" s="4"/>
      <c r="BX161" s="4"/>
      <c r="BY161" s="9">
        <f>+INT(BK161*faktorji!$B$3)</f>
        <v>430</v>
      </c>
      <c r="BZ161" s="9">
        <f>+INT(BL161*faktorji!$B$4)</f>
        <v>2301</v>
      </c>
      <c r="CA161" s="3" t="s">
        <v>1313</v>
      </c>
      <c r="CB161" s="4">
        <v>0</v>
      </c>
      <c r="CC161" s="4">
        <v>0</v>
      </c>
      <c r="CD161" s="4">
        <v>0</v>
      </c>
      <c r="CE161" s="4">
        <v>0</v>
      </c>
      <c r="CF161" s="4">
        <v>0</v>
      </c>
      <c r="CG161" s="4">
        <v>1</v>
      </c>
      <c r="CH161" s="4">
        <v>1</v>
      </c>
      <c r="CI161" s="9">
        <f>+BQ161*(CB161*faktorji!$B$21+'MOL_tabela rezultatov'!CF16*faktorji!$B$23+'MOL_tabela rezultatov'!CH16*faktorji!$B$26)+faktorji!$B$27*CG161</f>
        <v>19739.924999999999</v>
      </c>
      <c r="CJ161" s="9">
        <f>+(BZ161*CF161*faktorji!$B$18)+(CG161*faktorji!$B$17*('MOL_tabela rezultatov'!BY16+'MOL_tabela rezultatov'!BZ16))+('MOL_tabela rezultatov'!CH16*faktorji!$B$16*'MOL_tabela rezultatov'!BY16)+('MOL_tabela rezultatov'!CB16*faktorji!$B$12*'MOL_tabela rezultatov'!BY16)</f>
        <v>4022.5000000000005</v>
      </c>
      <c r="CK161" s="66">
        <f>+CI161/CJ161</f>
        <v>4.9073772529521431</v>
      </c>
      <c r="CL161" s="3" t="str">
        <f>CONCATENATE(IF(CB161&gt;0,"kotlovnica/toplotna postaja, ",""),IF(CF161&gt;0,"razsvetljava, ",""),IF(CG161&gt;0,"energetsko upravljanje, ",""),IF(CH161&gt;0,"manjši investicijski in organizacijski ukrepi, ",""))</f>
        <v xml:space="preserve">energetsko upravljanje, manjši investicijski in organizacijski ukrepi, </v>
      </c>
      <c r="CM161" s="9">
        <f>+CJ161*0.9</f>
        <v>3620.2500000000005</v>
      </c>
      <c r="CN161" s="9">
        <f>+CJ161*0.9</f>
        <v>3620.2500000000005</v>
      </c>
      <c r="CO161" s="9">
        <f>+CJ161*0.9</f>
        <v>3620.2500000000005</v>
      </c>
      <c r="CP161" s="69">
        <f>+IF(CI161-SUM(CM161:CO161)&lt;0,0,CI161-SUM(CM161:CO161))</f>
        <v>8879.1749999999975</v>
      </c>
      <c r="CQ161" s="9">
        <f>+(BQ161*CE161*faktorji!$B$24)+(BQ161^0.5*CC161*4*4*0.66*faktorji!$B$22)+(BQ161^0.5*CD161*4*4*0.33*faktorji!$B$25)</f>
        <v>0</v>
      </c>
      <c r="CR161" s="3" t="str">
        <f t="shared" si="97"/>
        <v/>
      </c>
      <c r="CS161" s="9">
        <f>+BQ161*('MOL_tabela rezultatov'!CH161*faktorji!$B$26)+faktorji!$B$27*CG161</f>
        <v>18158.174999999999</v>
      </c>
      <c r="CT161" s="3" t="str">
        <f t="shared" si="95"/>
        <v xml:space="preserve">energetsko upravljanje, manjši investicijski in organizacijski ukrepi, </v>
      </c>
      <c r="CU161" s="9">
        <f t="shared" si="127"/>
        <v>4539.5437499999998</v>
      </c>
      <c r="CV161" s="9">
        <f t="shared" ref="CV161:CX161" si="136">+CU161</f>
        <v>4539.5437499999998</v>
      </c>
      <c r="CW161" s="9">
        <f t="shared" si="136"/>
        <v>4539.5437499999998</v>
      </c>
      <c r="CX161" s="69">
        <f t="shared" si="136"/>
        <v>4539.5437499999998</v>
      </c>
    </row>
    <row r="162" spans="1:102" s="10" customFormat="1" ht="18" hidden="1" customHeight="1">
      <c r="A162" s="53" t="s">
        <v>1394</v>
      </c>
      <c r="B162" s="135" t="s">
        <v>56</v>
      </c>
      <c r="C162" s="56" t="s">
        <v>1375</v>
      </c>
      <c r="D162" s="56" t="s">
        <v>1376</v>
      </c>
      <c r="E162" s="51" t="s">
        <v>1167</v>
      </c>
      <c r="F162" s="51"/>
      <c r="G162" s="51">
        <v>3</v>
      </c>
      <c r="H162" s="51"/>
      <c r="I162" s="51"/>
      <c r="J162" s="51">
        <v>7</v>
      </c>
      <c r="K162" s="37" t="s">
        <v>1243</v>
      </c>
      <c r="L162" s="50"/>
      <c r="M162" s="4" t="s">
        <v>5</v>
      </c>
      <c r="N162" s="25">
        <v>38.9</v>
      </c>
      <c r="O162" s="25"/>
      <c r="P162" s="25"/>
      <c r="Q162" s="25"/>
      <c r="R162" s="25"/>
      <c r="S162" s="25"/>
      <c r="T162" s="25">
        <v>12.03</v>
      </c>
      <c r="U162" s="25">
        <v>50.93</v>
      </c>
      <c r="V162" s="30">
        <v>32.958904109589035</v>
      </c>
      <c r="W162" s="30">
        <v>106.57534246575342</v>
      </c>
      <c r="X162" s="31">
        <v>38</v>
      </c>
      <c r="Y162" s="31"/>
      <c r="Z162" s="31"/>
      <c r="AA162" s="31"/>
      <c r="AB162" s="31"/>
      <c r="AC162" s="31">
        <v>11.92</v>
      </c>
      <c r="AD162" s="31"/>
      <c r="AE162" s="32">
        <v>104.10958904109589</v>
      </c>
      <c r="AF162" s="1">
        <v>99</v>
      </c>
      <c r="AG162" s="4"/>
      <c r="AH162" s="4" t="s">
        <v>106</v>
      </c>
      <c r="AI162" s="6">
        <v>365</v>
      </c>
      <c r="AJ162" s="38">
        <v>85</v>
      </c>
      <c r="AK162" s="34" t="s">
        <v>92</v>
      </c>
      <c r="AL162" s="1" t="s">
        <v>95</v>
      </c>
      <c r="AM162" s="37">
        <v>41</v>
      </c>
      <c r="AN162" s="37">
        <v>41</v>
      </c>
      <c r="AO162" s="37">
        <v>34</v>
      </c>
      <c r="AP162" s="37">
        <v>42</v>
      </c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  <c r="BA162" s="37"/>
      <c r="BB162" s="37"/>
      <c r="BC162" s="37">
        <v>12.1</v>
      </c>
      <c r="BD162" s="37">
        <v>12.5</v>
      </c>
      <c r="BE162" s="37">
        <v>15.9</v>
      </c>
      <c r="BF162" s="37">
        <v>15.5</v>
      </c>
      <c r="BG162" s="42">
        <v>39.5</v>
      </c>
      <c r="BH162" s="42"/>
      <c r="BI162" s="42"/>
      <c r="BJ162" s="42"/>
      <c r="BK162" s="44">
        <v>39.5</v>
      </c>
      <c r="BL162" s="44">
        <v>14</v>
      </c>
      <c r="BM162" s="44">
        <f>+BK162+BL162</f>
        <v>53.5</v>
      </c>
      <c r="BN162" s="47">
        <v>107.92349726775956</v>
      </c>
      <c r="BO162" s="47">
        <v>38.251366120218577</v>
      </c>
      <c r="BP162" s="45">
        <v>146.17486338797815</v>
      </c>
      <c r="BQ162" s="9">
        <v>366</v>
      </c>
      <c r="BR162" s="4">
        <v>235</v>
      </c>
      <c r="BS162" s="4">
        <v>1982</v>
      </c>
      <c r="BT162" s="4" t="s">
        <v>1082</v>
      </c>
      <c r="BU162" s="1" t="s">
        <v>1094</v>
      </c>
      <c r="BV162" s="4" t="s">
        <v>871</v>
      </c>
      <c r="BW162" s="4"/>
      <c r="BX162" s="4"/>
      <c r="BY162" s="9">
        <f>+INT(BK162*faktorji!$B$3)</f>
        <v>2567</v>
      </c>
      <c r="BZ162" s="9">
        <f>+INT(BL162*faktorji!$B$4)</f>
        <v>2310</v>
      </c>
      <c r="CA162" s="4"/>
      <c r="CB162" s="4">
        <v>1</v>
      </c>
      <c r="CC162" s="4">
        <v>1</v>
      </c>
      <c r="CD162" s="4">
        <v>0</v>
      </c>
      <c r="CE162" s="4">
        <v>1</v>
      </c>
      <c r="CF162" s="4">
        <v>1</v>
      </c>
      <c r="CG162" s="4">
        <v>1</v>
      </c>
      <c r="CH162" s="4">
        <v>1</v>
      </c>
      <c r="CI162" s="9">
        <f>+BQ162*(CB162*faktorji!$B$21+'MOL_tabela rezultatov'!CF36*faktorji!$B$23+'MOL_tabela rezultatov'!CH36*faktorji!$B$26)+faktorji!$B$27*CG162</f>
        <v>29529</v>
      </c>
      <c r="CJ162" s="9">
        <f>+(BZ162*CF162*faktorji!$B$18)+(CG162*faktorji!$B$17*('MOL_tabela rezultatov'!BY36+'MOL_tabela rezultatov'!BZ36))+('MOL_tabela rezultatov'!CH36*faktorji!$B$16*'MOL_tabela rezultatov'!BY36)+('MOL_tabela rezultatov'!CB36*faktorji!$B$12*'MOL_tabela rezultatov'!BY36)</f>
        <v>3574</v>
      </c>
      <c r="CK162" s="66">
        <f>+CI162/CJ162</f>
        <v>8.2621712367095697</v>
      </c>
      <c r="CL162" s="3" t="str">
        <f>CONCATENATE(IF(CB162&gt;0,"kotlovnica/toplotna postaja, ",""),IF(CF162&gt;0,"razsvetljava, ",""),IF(CG162&gt;0,"energetsko upravljanje, ",""),IF(CH162&gt;0,"manjši investicijski in organizacijski ukrepi, ",""))</f>
        <v xml:space="preserve">kotlovnica/toplotna postaja, razsvetljava, energetsko upravljanje, manjši investicijski in organizacijski ukrepi, </v>
      </c>
      <c r="CM162" s="9">
        <f>+CJ162*0.9</f>
        <v>3216.6</v>
      </c>
      <c r="CN162" s="9">
        <f>+CJ162*0.9</f>
        <v>3216.6</v>
      </c>
      <c r="CO162" s="9">
        <f>+CJ162*0.9</f>
        <v>3216.6</v>
      </c>
      <c r="CP162" s="69">
        <f>+IF(CI162-SUM(CM162:CO162)&lt;0,0,CI162-SUM(CM162:CO162))</f>
        <v>19879.2</v>
      </c>
      <c r="CQ162" s="9">
        <f>+(BQ162*CE162*faktorji!$B$24)+(BQ162^0.5*CC162*4*4*0.66*faktorji!$B$22)+(BQ162^0.5*CD162*4*4*0.33*faktorji!$B$25)</f>
        <v>21461.728686408889</v>
      </c>
      <c r="CR162" s="3" t="str">
        <f t="shared" si="97"/>
        <v xml:space="preserve">izolacija ovoja, izolacija podstrešja, </v>
      </c>
      <c r="CS162" s="9">
        <f>+BQ162*('MOL_tabela rezultatov'!CH162*faktorji!$B$26)+faktorji!$B$27*CG162</f>
        <v>18549</v>
      </c>
      <c r="CT162" s="3" t="str">
        <f t="shared" si="95"/>
        <v xml:space="preserve">energetsko upravljanje, manjši investicijski in organizacijski ukrepi, </v>
      </c>
      <c r="CU162" s="9">
        <f t="shared" si="127"/>
        <v>4637.25</v>
      </c>
      <c r="CV162" s="9">
        <f t="shared" ref="CV162:CX162" si="137">+CU162</f>
        <v>4637.25</v>
      </c>
      <c r="CW162" s="9">
        <f t="shared" si="137"/>
        <v>4637.25</v>
      </c>
      <c r="CX162" s="69">
        <f t="shared" si="137"/>
        <v>4637.25</v>
      </c>
    </row>
    <row r="163" spans="1:102" s="10" customFormat="1" ht="18" hidden="1" customHeight="1">
      <c r="A163" s="53" t="s">
        <v>282</v>
      </c>
      <c r="B163" s="2" t="s">
        <v>283</v>
      </c>
      <c r="C163" s="57"/>
      <c r="D163" s="57"/>
      <c r="E163" s="51" t="s">
        <v>1174</v>
      </c>
      <c r="F163" s="51"/>
      <c r="G163" s="51">
        <v>4</v>
      </c>
      <c r="H163" s="51"/>
      <c r="I163" s="51"/>
      <c r="J163" s="51">
        <v>7</v>
      </c>
      <c r="K163" s="37" t="s">
        <v>1244</v>
      </c>
      <c r="L163" s="50"/>
      <c r="M163" s="4" t="s">
        <v>5</v>
      </c>
      <c r="N163" s="25">
        <v>20.86</v>
      </c>
      <c r="O163" s="25"/>
      <c r="P163" s="25"/>
      <c r="Q163" s="25"/>
      <c r="R163" s="25"/>
      <c r="S163" s="25"/>
      <c r="T163" s="25">
        <v>2.83</v>
      </c>
      <c r="U163" s="25">
        <v>23.689999999999998</v>
      </c>
      <c r="V163" s="30">
        <v>20.706812028974905</v>
      </c>
      <c r="W163" s="30">
        <v>152.6304236482037</v>
      </c>
      <c r="X163" s="31"/>
      <c r="Y163" s="31"/>
      <c r="Z163" s="31"/>
      <c r="AA163" s="31"/>
      <c r="AB163" s="31"/>
      <c r="AC163" s="31">
        <v>2.62</v>
      </c>
      <c r="AD163" s="31"/>
      <c r="AE163" s="32">
        <v>0</v>
      </c>
      <c r="AF163" s="1"/>
      <c r="AG163" s="4"/>
      <c r="AH163" s="4">
        <v>1</v>
      </c>
      <c r="AI163" s="6">
        <v>136.66999999999999</v>
      </c>
      <c r="AJ163" s="38">
        <v>100</v>
      </c>
      <c r="AK163" s="3"/>
      <c r="AL163" s="1"/>
      <c r="AM163" s="37"/>
      <c r="AN163" s="37"/>
      <c r="AO163" s="37"/>
      <c r="AP163" s="37"/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  <c r="BA163" s="37"/>
      <c r="BB163" s="37"/>
      <c r="BC163" s="37"/>
      <c r="BD163" s="37"/>
      <c r="BE163" s="37"/>
      <c r="BF163" s="37"/>
      <c r="BG163" s="42">
        <v>18.82</v>
      </c>
      <c r="BH163" s="42"/>
      <c r="BI163" s="42"/>
      <c r="BJ163" s="42"/>
      <c r="BK163" s="44">
        <v>18.82</v>
      </c>
      <c r="BL163" s="44">
        <v>2.83</v>
      </c>
      <c r="BM163" s="44">
        <f>+BK163+BL163</f>
        <v>21.65</v>
      </c>
      <c r="BN163" s="47">
        <v>137.70395844003806</v>
      </c>
      <c r="BO163" s="47">
        <v>20.706812028974905</v>
      </c>
      <c r="BP163" s="45">
        <v>158.41077046901296</v>
      </c>
      <c r="BQ163" s="6">
        <v>136.66999999999999</v>
      </c>
      <c r="BR163" s="4"/>
      <c r="BS163" s="4"/>
      <c r="BT163" s="4"/>
      <c r="BU163" s="4"/>
      <c r="BV163" s="4"/>
      <c r="BW163" s="4"/>
      <c r="BX163" s="4"/>
      <c r="BY163" s="9">
        <f>+INT(BK163*faktorji!$B$3)</f>
        <v>1223</v>
      </c>
      <c r="BZ163" s="9">
        <f>+INT(BL163*faktorji!$B$4)</f>
        <v>466</v>
      </c>
      <c r="CA163" s="4"/>
      <c r="CB163" s="4">
        <v>0</v>
      </c>
      <c r="CC163" s="4">
        <v>0</v>
      </c>
      <c r="CD163" s="4">
        <v>0</v>
      </c>
      <c r="CE163" s="4">
        <v>0</v>
      </c>
      <c r="CF163" s="4">
        <v>1</v>
      </c>
      <c r="CG163" s="4">
        <v>1</v>
      </c>
      <c r="CH163" s="4">
        <v>1</v>
      </c>
      <c r="CI163" s="9">
        <f>+BQ163*(CB163*faktorji!$B$21+'MOL_tabela rezultatov'!CF109*faktorji!$B$23+'MOL_tabela rezultatov'!CH109*faktorji!$B$26)+faktorji!$B$27*CG163</f>
        <v>20255.055</v>
      </c>
      <c r="CJ163" s="9">
        <f>+(BZ163*CF163*faktorji!$B$18)+(CG163*faktorji!$B$17*('MOL_tabela rezultatov'!BY109+'MOL_tabela rezultatov'!BZ109))+('MOL_tabela rezultatov'!CH109*faktorji!$B$16*'MOL_tabela rezultatov'!BY109)+('MOL_tabela rezultatov'!CB109*faktorji!$B$12*'MOL_tabela rezultatov'!BY109)</f>
        <v>4282.8000000000011</v>
      </c>
      <c r="CK163" s="66">
        <f>+CI163/CJ163</f>
        <v>4.7293954889324725</v>
      </c>
      <c r="CL163" s="3" t="str">
        <f>CONCATENATE(IF(CB163&gt;0,"kotlovnica/toplotna postaja, ",""),IF(CF163&gt;0,"razsvetljava, ",""),IF(CG163&gt;0,"energetsko upravljanje, ",""),IF(CH163&gt;0,"manjši investicijski in organizacijski ukrepi, ",""))</f>
        <v xml:space="preserve">razsvetljava, energetsko upravljanje, manjši investicijski in organizacijski ukrepi, </v>
      </c>
      <c r="CM163" s="9">
        <f>+CJ163*0.9</f>
        <v>3854.5200000000009</v>
      </c>
      <c r="CN163" s="9">
        <f>+CJ163*0.9</f>
        <v>3854.5200000000009</v>
      </c>
      <c r="CO163" s="9">
        <f>+CJ163*0.9</f>
        <v>3854.5200000000009</v>
      </c>
      <c r="CP163" s="69">
        <f>+IF(CI163-SUM(CM163:CO163)&lt;0,0,CI163-SUM(CM163:CO163))</f>
        <v>8691.4949999999972</v>
      </c>
      <c r="CQ163" s="9">
        <f>+(BQ163*CE163*faktorji!$B$24)+(BQ163^0.5*CC163*4*4*0.66*faktorji!$B$22)+(BQ163^0.5*CD163*4*4*0.33*faktorji!$B$25)</f>
        <v>0</v>
      </c>
      <c r="CR163" s="3" t="str">
        <f t="shared" si="97"/>
        <v/>
      </c>
      <c r="CS163" s="9">
        <f>+BQ163*('MOL_tabela rezultatov'!CH163*faktorji!$B$26)+faktorji!$B$27*CG163</f>
        <v>18205.005000000001</v>
      </c>
      <c r="CT163" s="3" t="str">
        <f t="shared" si="95"/>
        <v xml:space="preserve">energetsko upravljanje, manjši investicijski in organizacijski ukrepi, </v>
      </c>
      <c r="CU163" s="9">
        <f t="shared" si="127"/>
        <v>4551.2512500000003</v>
      </c>
      <c r="CV163" s="9">
        <f t="shared" ref="CV163:CX163" si="138">+CU163</f>
        <v>4551.2512500000003</v>
      </c>
      <c r="CW163" s="9">
        <f t="shared" si="138"/>
        <v>4551.2512500000003</v>
      </c>
      <c r="CX163" s="69">
        <f t="shared" si="138"/>
        <v>4551.2512500000003</v>
      </c>
    </row>
    <row r="164" spans="1:102" s="10" customFormat="1" ht="18" hidden="1" customHeight="1">
      <c r="A164" s="53" t="s">
        <v>638</v>
      </c>
      <c r="B164" s="2" t="s">
        <v>639</v>
      </c>
      <c r="C164" s="57"/>
      <c r="D164" s="57"/>
      <c r="E164" s="51" t="s">
        <v>1176</v>
      </c>
      <c r="F164" s="51"/>
      <c r="G164" s="51">
        <v>2</v>
      </c>
      <c r="H164" s="51" t="s">
        <v>1252</v>
      </c>
      <c r="I164" s="51"/>
      <c r="J164" s="51">
        <v>2</v>
      </c>
      <c r="K164" s="37" t="s">
        <v>1243</v>
      </c>
      <c r="L164" s="50"/>
      <c r="M164" s="4" t="s">
        <v>5</v>
      </c>
      <c r="N164" s="28">
        <v>57</v>
      </c>
      <c r="O164" s="25"/>
      <c r="P164" s="25"/>
      <c r="Q164" s="25"/>
      <c r="R164" s="25"/>
      <c r="S164" s="25"/>
      <c r="T164" s="25">
        <v>26.036999999999999</v>
      </c>
      <c r="U164" s="25">
        <v>83.037000000000006</v>
      </c>
      <c r="V164" s="30">
        <v>41.592651757188492</v>
      </c>
      <c r="W164" s="30">
        <v>91.054313099041536</v>
      </c>
      <c r="X164" s="31"/>
      <c r="Y164" s="31"/>
      <c r="Z164" s="31"/>
      <c r="AA164" s="31"/>
      <c r="AB164" s="31"/>
      <c r="AC164" s="31"/>
      <c r="AD164" s="31"/>
      <c r="AE164" s="32"/>
      <c r="AF164" s="16"/>
      <c r="AG164" s="3"/>
      <c r="AH164" s="4"/>
      <c r="AI164" s="6">
        <v>626</v>
      </c>
      <c r="AJ164" s="38">
        <v>100</v>
      </c>
      <c r="AK164" s="3"/>
      <c r="AL164" s="1" t="s">
        <v>640</v>
      </c>
      <c r="AM164" s="39"/>
      <c r="AN164" s="39"/>
      <c r="AO164" s="39">
        <f>74.8+36.2</f>
        <v>111</v>
      </c>
      <c r="AP164" s="39">
        <f>77.2+31.2</f>
        <v>108.4</v>
      </c>
      <c r="AQ164" s="37"/>
      <c r="AR164" s="37"/>
      <c r="AS164" s="37">
        <f>(1281*9.5)/1000</f>
        <v>12.169499999999999</v>
      </c>
      <c r="AT164" s="37">
        <f>(2009*9.5)/1000</f>
        <v>19.0855</v>
      </c>
      <c r="AU164" s="37"/>
      <c r="AV164" s="37"/>
      <c r="AW164" s="37"/>
      <c r="AX164" s="37"/>
      <c r="AY164" s="37"/>
      <c r="AZ164" s="37"/>
      <c r="BA164" s="37"/>
      <c r="BB164" s="37"/>
      <c r="BC164" s="37">
        <v>28.9</v>
      </c>
      <c r="BD164" s="37">
        <v>32.5</v>
      </c>
      <c r="BE164" s="37">
        <v>31.5</v>
      </c>
      <c r="BF164" s="37">
        <v>31.7</v>
      </c>
      <c r="BG164" s="42">
        <v>113.30000000000001</v>
      </c>
      <c r="BH164" s="42">
        <v>15.6275</v>
      </c>
      <c r="BI164" s="42"/>
      <c r="BJ164" s="42"/>
      <c r="BK164" s="44">
        <v>128.92750000000001</v>
      </c>
      <c r="BL164" s="44">
        <v>31.150000000000002</v>
      </c>
      <c r="BM164" s="44">
        <f>+BK164+BL164</f>
        <v>160.07750000000001</v>
      </c>
      <c r="BN164" s="47">
        <v>265.82989690721655</v>
      </c>
      <c r="BO164" s="47">
        <v>64.226804123711347</v>
      </c>
      <c r="BP164" s="45">
        <v>330.05670103092791</v>
      </c>
      <c r="BQ164" s="9">
        <v>485</v>
      </c>
      <c r="BR164" s="4"/>
      <c r="BS164" s="4"/>
      <c r="BT164" s="4" t="s">
        <v>431</v>
      </c>
      <c r="BU164" s="4" t="s">
        <v>136</v>
      </c>
      <c r="BV164" s="4"/>
      <c r="BW164" s="4" t="s">
        <v>889</v>
      </c>
      <c r="BX164" s="4"/>
      <c r="BY164" s="9">
        <f>+INT(BK164*faktorji!$B$3)</f>
        <v>8380</v>
      </c>
      <c r="BZ164" s="9">
        <f>+INT(BL164*faktorji!$B$4)</f>
        <v>5139</v>
      </c>
      <c r="CA164" s="3" t="s">
        <v>1306</v>
      </c>
      <c r="CB164" s="4">
        <v>1</v>
      </c>
      <c r="CC164" s="4">
        <v>0</v>
      </c>
      <c r="CD164" s="4">
        <v>0</v>
      </c>
      <c r="CE164" s="4">
        <v>1</v>
      </c>
      <c r="CF164" s="4">
        <v>1</v>
      </c>
      <c r="CG164" s="4">
        <v>1</v>
      </c>
      <c r="CH164" s="4">
        <v>1</v>
      </c>
      <c r="CI164" s="9">
        <f>+BQ164*(CB164*faktorji!$B$21+'MOL_tabela rezultatov'!CF235*faktorji!$B$23+'MOL_tabela rezultatov'!CH235*faktorji!$B$26)+faktorji!$B$27*CG164</f>
        <v>26002.5</v>
      </c>
      <c r="CJ164" s="9">
        <f>+(BZ164*CF164*faktorji!$B$18)+(CG164*faktorji!$B$17*('MOL_tabela rezultatov'!BY235+'MOL_tabela rezultatov'!BZ235))+('MOL_tabela rezultatov'!CH235*faktorji!$B$16*'MOL_tabela rezultatov'!BY235)+('MOL_tabela rezultatov'!CB235*faktorji!$B$12*'MOL_tabela rezultatov'!BY235)</f>
        <v>23260.25</v>
      </c>
      <c r="CK164" s="66">
        <f>+CI164/CJ164</f>
        <v>1.1178942616695866</v>
      </c>
      <c r="CL164" s="3" t="str">
        <f>CONCATENATE(IF(CB164&gt;0,"kotlovnica/toplotna postaja, ",""),IF(CF164&gt;0,"razsvetljava, ",""),IF(CG164&gt;0,"energetsko upravljanje, ",""),IF(CH164&gt;0,"manjši investicijski in organizacijski ukrepi, ",""))</f>
        <v xml:space="preserve">kotlovnica/toplotna postaja, razsvetljava, energetsko upravljanje, manjši investicijski in organizacijski ukrepi, </v>
      </c>
      <c r="CM164" s="9">
        <f>+CJ164*0.9</f>
        <v>20934.225000000002</v>
      </c>
      <c r="CN164" s="9">
        <f>+CJ164*0.9</f>
        <v>20934.225000000002</v>
      </c>
      <c r="CO164" s="9">
        <f>+CJ164*0.9</f>
        <v>20934.225000000002</v>
      </c>
      <c r="CP164" s="69">
        <f>+IF(CI164-SUM(CM164:CO164)&lt;0,0,CI164-SUM(CM164:CO164))</f>
        <v>0</v>
      </c>
      <c r="CQ164" s="9">
        <f>+(BQ164*CE164*faktorji!$B$24)+(BQ164^0.5*CC164*4*4*0.66*faktorji!$B$22)+(BQ164^0.5*CD164*4*4*0.33*faktorji!$B$25)</f>
        <v>9700</v>
      </c>
      <c r="CR164" s="3" t="str">
        <f t="shared" si="97"/>
        <v xml:space="preserve">izolacija podstrešja, </v>
      </c>
      <c r="CS164" s="9">
        <f>+BQ164*('MOL_tabela rezultatov'!CH164*faktorji!$B$26)+faktorji!$B$27*CG164</f>
        <v>18727.5</v>
      </c>
      <c r="CT164" s="3" t="str">
        <f t="shared" si="95"/>
        <v xml:space="preserve">energetsko upravljanje, manjši investicijski in organizacijski ukrepi, </v>
      </c>
      <c r="CU164" s="9">
        <f t="shared" si="127"/>
        <v>4681.875</v>
      </c>
      <c r="CV164" s="9">
        <f t="shared" ref="CV164:CX164" si="139">+CU164</f>
        <v>4681.875</v>
      </c>
      <c r="CW164" s="9">
        <f t="shared" si="139"/>
        <v>4681.875</v>
      </c>
      <c r="CX164" s="69">
        <f t="shared" si="139"/>
        <v>4681.875</v>
      </c>
    </row>
    <row r="165" spans="1:102" s="10" customFormat="1" ht="18" hidden="1" customHeight="1">
      <c r="A165" s="53" t="s">
        <v>457</v>
      </c>
      <c r="B165" s="2" t="s">
        <v>458</v>
      </c>
      <c r="C165" s="57"/>
      <c r="D165" s="57"/>
      <c r="E165" s="51" t="s">
        <v>1175</v>
      </c>
      <c r="F165" s="51"/>
      <c r="G165" s="51">
        <v>2</v>
      </c>
      <c r="H165" s="51" t="s">
        <v>1250</v>
      </c>
      <c r="I165" s="51"/>
      <c r="J165" s="51">
        <v>2</v>
      </c>
      <c r="K165" s="37" t="s">
        <v>1242</v>
      </c>
      <c r="L165" s="50"/>
      <c r="M165" s="4" t="s">
        <v>6</v>
      </c>
      <c r="N165" s="25"/>
      <c r="O165" s="25">
        <v>755.4</v>
      </c>
      <c r="P165" s="25"/>
      <c r="Q165" s="25"/>
      <c r="R165" s="25"/>
      <c r="S165" s="25"/>
      <c r="T165" s="25">
        <v>69.888000000000005</v>
      </c>
      <c r="U165" s="25">
        <v>825.28800000000001</v>
      </c>
      <c r="V165" s="30">
        <v>14.147368421052633</v>
      </c>
      <c r="W165" s="30">
        <v>152.91497975708501</v>
      </c>
      <c r="X165" s="31"/>
      <c r="Y165" s="31"/>
      <c r="Z165" s="31"/>
      <c r="AA165" s="31"/>
      <c r="AB165" s="31"/>
      <c r="AC165" s="31"/>
      <c r="AD165" s="31"/>
      <c r="AE165" s="32"/>
      <c r="AF165" s="16" t="s">
        <v>417</v>
      </c>
      <c r="AG165" s="3">
        <v>2002</v>
      </c>
      <c r="AH165" s="4"/>
      <c r="AI165" s="6">
        <v>4940</v>
      </c>
      <c r="AJ165" s="38">
        <v>100</v>
      </c>
      <c r="AK165" s="3"/>
      <c r="AL165" s="1" t="s">
        <v>459</v>
      </c>
      <c r="AM165" s="37"/>
      <c r="AN165" s="37"/>
      <c r="AO165" s="37"/>
      <c r="AP165" s="37"/>
      <c r="AQ165" s="37">
        <f>(66753*9.5)/1000</f>
        <v>634.15350000000001</v>
      </c>
      <c r="AR165" s="37">
        <f>(77240*9.5)/1000</f>
        <v>733.78</v>
      </c>
      <c r="AS165" s="37">
        <f>(74851*9.5)/1000</f>
        <v>711.08450000000005</v>
      </c>
      <c r="AT165" s="37">
        <f>(75006*9.5)/1000</f>
        <v>712.55700000000002</v>
      </c>
      <c r="AU165" s="37"/>
      <c r="AV165" s="37"/>
      <c r="AW165" s="37"/>
      <c r="AX165" s="37"/>
      <c r="AY165" s="37"/>
      <c r="AZ165" s="37"/>
      <c r="BA165" s="37"/>
      <c r="BB165" s="37"/>
      <c r="BC165" s="37"/>
      <c r="BD165" s="37"/>
      <c r="BE165" s="37"/>
      <c r="BF165" s="37"/>
      <c r="BG165" s="42"/>
      <c r="BH165" s="42">
        <v>697.89374999999995</v>
      </c>
      <c r="BI165" s="42"/>
      <c r="BJ165" s="42"/>
      <c r="BK165" s="44">
        <v>697.89374999999995</v>
      </c>
      <c r="BL165" s="44">
        <v>69.89</v>
      </c>
      <c r="BM165" s="44">
        <f>+BK165+BL165</f>
        <v>767.78374999999994</v>
      </c>
      <c r="BN165" s="47">
        <v>141.27403846153845</v>
      </c>
      <c r="BO165" s="47">
        <v>14.147773279352228</v>
      </c>
      <c r="BP165" s="45">
        <v>155.42181174089066</v>
      </c>
      <c r="BQ165" s="9">
        <v>4940</v>
      </c>
      <c r="BR165" s="4" t="s">
        <v>1016</v>
      </c>
      <c r="BS165" s="4">
        <v>2002</v>
      </c>
      <c r="BT165" s="4" t="s">
        <v>872</v>
      </c>
      <c r="BU165" s="4"/>
      <c r="BV165" s="4" t="s">
        <v>1017</v>
      </c>
      <c r="BW165" s="4"/>
      <c r="BX165" s="4"/>
      <c r="BY165" s="9">
        <f>+INT(BK165*faktorji!$B$5)</f>
        <v>66299</v>
      </c>
      <c r="BZ165" s="9">
        <f>+INT(BL165*faktorji!$B$4)</f>
        <v>11531</v>
      </c>
      <c r="CA165" s="3" t="s">
        <v>1300</v>
      </c>
      <c r="CB165" s="4">
        <v>0</v>
      </c>
      <c r="CC165" s="4">
        <v>0</v>
      </c>
      <c r="CD165" s="4">
        <v>0</v>
      </c>
      <c r="CE165" s="4">
        <v>0</v>
      </c>
      <c r="CF165" s="4">
        <v>1</v>
      </c>
      <c r="CG165" s="4">
        <v>1</v>
      </c>
      <c r="CH165" s="4">
        <v>1</v>
      </c>
      <c r="CI165" s="9">
        <f>+BQ165*(CB165*faktorji!$B$21+'MOL_tabela rezultatov'!CF178*faktorji!$B$23+'MOL_tabela rezultatov'!CH178*faktorji!$B$26)+faktorji!$B$27*CG165</f>
        <v>99510</v>
      </c>
      <c r="CJ165" s="9">
        <f>+(BZ165*CF165*faktorji!$B$18)+(CG165*faktorji!$B$17*('MOL_tabela rezultatov'!BY178+'MOL_tabela rezultatov'!BZ178))+('MOL_tabela rezultatov'!CH178*faktorji!$B$16*'MOL_tabela rezultatov'!BY178)+('MOL_tabela rezultatov'!CB178*faktorji!$B$12*'MOL_tabela rezultatov'!BY178)</f>
        <v>21865.05</v>
      </c>
      <c r="CK165" s="66">
        <f>+CI165/CJ165</f>
        <v>4.5510986711669998</v>
      </c>
      <c r="CL165" s="3" t="str">
        <f>CONCATENATE(IF(CB165&gt;0,"kotlovnica/toplotna postaja, ",""),IF(CF165&gt;0,"razsvetljava, ",""),IF(CG165&gt;0,"energetsko upravljanje, ",""),IF(CH165&gt;0,"manjši investicijski in organizacijski ukrepi, ",""))</f>
        <v xml:space="preserve">razsvetljava, energetsko upravljanje, manjši investicijski in organizacijski ukrepi, </v>
      </c>
      <c r="CM165" s="9">
        <f>+CJ165*0.9</f>
        <v>19678.544999999998</v>
      </c>
      <c r="CN165" s="9">
        <f>+CJ165*0.9</f>
        <v>19678.544999999998</v>
      </c>
      <c r="CO165" s="9">
        <f>+CJ165*0.9</f>
        <v>19678.544999999998</v>
      </c>
      <c r="CP165" s="69">
        <f>+IF(CI165-SUM(CM165:CO165)&lt;0,0,CI165-SUM(CM165:CO165))</f>
        <v>40474.365000000005</v>
      </c>
      <c r="CQ165" s="9">
        <f>+(BQ165*CE165*faktorji!$B$24)+(BQ165^0.5*CC165*4*4*0.66*faktorji!$B$22)+(BQ165^0.5*CD165*4*4*0.33*faktorji!$B$25)</f>
        <v>0</v>
      </c>
      <c r="CR165" s="3" t="str">
        <f t="shared" si="97"/>
        <v/>
      </c>
      <c r="CS165" s="9">
        <f>+BQ165*('MOL_tabela rezultatov'!CH165*faktorji!$B$26)+faktorji!$B$27*CG165</f>
        <v>25410</v>
      </c>
      <c r="CT165" s="3" t="str">
        <f t="shared" si="95"/>
        <v xml:space="preserve">energetsko upravljanje, manjši investicijski in organizacijski ukrepi, </v>
      </c>
      <c r="CU165" s="9">
        <f t="shared" si="127"/>
        <v>6352.5</v>
      </c>
      <c r="CV165" s="9">
        <f t="shared" ref="CV165:CX165" si="140">+CU165</f>
        <v>6352.5</v>
      </c>
      <c r="CW165" s="9">
        <f t="shared" si="140"/>
        <v>6352.5</v>
      </c>
      <c r="CX165" s="69">
        <f t="shared" si="140"/>
        <v>6352.5</v>
      </c>
    </row>
    <row r="166" spans="1:102" s="10" customFormat="1" ht="18" hidden="1" customHeight="1">
      <c r="A166" s="53" t="s">
        <v>837</v>
      </c>
      <c r="B166" s="2" t="s">
        <v>838</v>
      </c>
      <c r="C166" s="57"/>
      <c r="D166" s="57"/>
      <c r="E166" s="51" t="s">
        <v>1176</v>
      </c>
      <c r="F166" s="51"/>
      <c r="G166" s="51">
        <v>2</v>
      </c>
      <c r="H166" s="71" t="s">
        <v>1255</v>
      </c>
      <c r="I166" s="71"/>
      <c r="J166" s="51">
        <v>1</v>
      </c>
      <c r="K166" s="37" t="s">
        <v>1243</v>
      </c>
      <c r="L166" s="50"/>
      <c r="M166" s="110" t="s">
        <v>5</v>
      </c>
      <c r="N166" s="25">
        <v>223</v>
      </c>
      <c r="O166" s="25"/>
      <c r="P166" s="25"/>
      <c r="Q166" s="25"/>
      <c r="R166" s="25"/>
      <c r="S166" s="25"/>
      <c r="T166" s="27">
        <v>26.642749999999999</v>
      </c>
      <c r="U166" s="25">
        <v>249.64275000000001</v>
      </c>
      <c r="V166" s="30">
        <v>20.494423076923077</v>
      </c>
      <c r="W166" s="30">
        <v>171.53846153846155</v>
      </c>
      <c r="X166" s="31"/>
      <c r="Y166" s="31"/>
      <c r="Z166" s="31"/>
      <c r="AA166" s="31"/>
      <c r="AB166" s="31"/>
      <c r="AC166" s="31"/>
      <c r="AD166" s="31"/>
      <c r="AE166" s="32"/>
      <c r="AF166" s="16"/>
      <c r="AG166" s="3"/>
      <c r="AH166" s="4"/>
      <c r="AI166" s="12">
        <v>1300</v>
      </c>
      <c r="AJ166" s="38">
        <v>100</v>
      </c>
      <c r="AK166" s="3"/>
      <c r="AL166" s="1" t="s">
        <v>421</v>
      </c>
      <c r="AM166" s="37"/>
      <c r="AN166" s="37"/>
      <c r="AO166" s="37"/>
      <c r="AP166" s="37"/>
      <c r="AQ166" s="37">
        <f>(2998*9.5)/1000</f>
        <v>28.481000000000002</v>
      </c>
      <c r="AR166" s="37">
        <f>(2326*9.5)/1000</f>
        <v>22.097000000000001</v>
      </c>
      <c r="AS166" s="37">
        <f>(2255*9.5)/1000</f>
        <v>21.422499999999999</v>
      </c>
      <c r="AT166" s="37"/>
      <c r="AU166" s="37"/>
      <c r="AV166" s="37"/>
      <c r="AW166" s="37"/>
      <c r="AX166" s="37"/>
      <c r="AY166" s="37"/>
      <c r="AZ166" s="37"/>
      <c r="BA166" s="37"/>
      <c r="BB166" s="37"/>
      <c r="BC166" s="37">
        <v>55.9</v>
      </c>
      <c r="BD166" s="37">
        <v>64.2</v>
      </c>
      <c r="BE166" s="37">
        <v>56.8</v>
      </c>
      <c r="BF166" s="37">
        <v>58.7</v>
      </c>
      <c r="BG166" s="42">
        <v>283.10000000000002</v>
      </c>
      <c r="BH166" s="42">
        <v>24.000166666666669</v>
      </c>
      <c r="BI166" s="43"/>
      <c r="BJ166" s="43"/>
      <c r="BK166" s="107">
        <v>266</v>
      </c>
      <c r="BL166" s="107">
        <v>67</v>
      </c>
      <c r="BM166" s="107">
        <f>+BK166+BL166</f>
        <v>333</v>
      </c>
      <c r="BN166" s="108">
        <f>+BK166*1000/BQ166</f>
        <v>197.47587230883445</v>
      </c>
      <c r="BO166" s="108">
        <f>+BL166*1000/BQ166</f>
        <v>49.740163325909428</v>
      </c>
      <c r="BP166" s="109">
        <f>+BO166+BN166</f>
        <v>247.21603563474389</v>
      </c>
      <c r="BQ166" s="106">
        <v>1347</v>
      </c>
      <c r="BR166" s="110">
        <v>267</v>
      </c>
      <c r="BS166" s="110">
        <v>2010</v>
      </c>
      <c r="BT166" s="112" t="s">
        <v>992</v>
      </c>
      <c r="BU166" s="4"/>
      <c r="BV166" s="4" t="s">
        <v>873</v>
      </c>
      <c r="BW166" s="4"/>
      <c r="BX166" s="4"/>
      <c r="BY166" s="106">
        <v>15650</v>
      </c>
      <c r="BZ166" s="106">
        <v>9570</v>
      </c>
      <c r="CA166" s="116" t="s">
        <v>1320</v>
      </c>
      <c r="CB166" s="4">
        <v>0</v>
      </c>
      <c r="CC166" s="4">
        <v>0</v>
      </c>
      <c r="CD166" s="4">
        <v>0</v>
      </c>
      <c r="CE166" s="4">
        <v>0</v>
      </c>
      <c r="CF166" s="4">
        <v>1</v>
      </c>
      <c r="CG166" s="4">
        <v>1</v>
      </c>
      <c r="CH166" s="4">
        <v>1</v>
      </c>
      <c r="CI166" s="106">
        <v>109900</v>
      </c>
      <c r="CJ166" s="106" t="e">
        <f>+(BZ166*CF166*faktorji!$B$18)+(CG166*faktorji!$B$17*('MOL_tabela rezultatov'!#REF!+'MOL_tabela rezultatov'!#REF!))+('MOL_tabela rezultatov'!#REF!*faktorji!$B$16*'MOL_tabela rezultatov'!#REF!)+('MOL_tabela rezultatov'!#REF!*faktorji!$B$12*'MOL_tabela rezultatov'!#REF!)</f>
        <v>#REF!</v>
      </c>
      <c r="CK166" s="115" t="e">
        <f>+CI166/CJ166</f>
        <v>#REF!</v>
      </c>
      <c r="CL166" s="3" t="str">
        <f>CONCATENATE(IF(CB166&gt;0,"kotlovnica/toplotna postaja, ",""),IF(CF166&gt;0,"razsvetljava, ",""),IF(CG166&gt;0,"energetsko upravljanje, ",""),IF(CH166&gt;0,"manjši investicijski in organizacijski ukrepi, ",""))</f>
        <v xml:space="preserve">razsvetljava, energetsko upravljanje, manjši investicijski in organizacijski ukrepi, </v>
      </c>
      <c r="CM166" s="9" t="e">
        <f>+CJ166*0.9</f>
        <v>#REF!</v>
      </c>
      <c r="CN166" s="9" t="e">
        <f>+CJ166*0.9</f>
        <v>#REF!</v>
      </c>
      <c r="CO166" s="9" t="e">
        <f>+CJ166*0.9</f>
        <v>#REF!</v>
      </c>
      <c r="CP166" s="69" t="e">
        <f>+IF(CI166-SUM(CM166:CO166)&lt;0,0,CI166-SUM(CM166:CO166))</f>
        <v>#REF!</v>
      </c>
      <c r="CQ166" s="9">
        <f>+(BQ166*CE166*faktorji!$B$24)+(BQ166^0.5*CC166*4*4*0.66*faktorji!$B$22)+(BQ166^0.5*CD166*4*4*0.33*faktorji!$B$25)</f>
        <v>0</v>
      </c>
      <c r="CR166" s="3" t="str">
        <f t="shared" si="97"/>
        <v/>
      </c>
      <c r="CS166" s="9">
        <f>+BQ166*('MOL_tabela rezultatov'!CH166*faktorji!$B$26)+faktorji!$B$27*CG166</f>
        <v>20020.5</v>
      </c>
      <c r="CT166" s="3" t="str">
        <f t="shared" si="95"/>
        <v xml:space="preserve">energetsko upravljanje, manjši investicijski in organizacijski ukrepi, </v>
      </c>
      <c r="CU166" s="9">
        <f t="shared" si="127"/>
        <v>5005.125</v>
      </c>
      <c r="CV166" s="9">
        <f t="shared" ref="CV166:CX166" si="141">+CU166</f>
        <v>5005.125</v>
      </c>
      <c r="CW166" s="9">
        <f t="shared" si="141"/>
        <v>5005.125</v>
      </c>
      <c r="CX166" s="69">
        <f t="shared" si="141"/>
        <v>5005.125</v>
      </c>
    </row>
    <row r="167" spans="1:102" s="10" customFormat="1" ht="18" hidden="1" customHeight="1">
      <c r="A167" s="53" t="s">
        <v>816</v>
      </c>
      <c r="B167" s="2" t="s">
        <v>817</v>
      </c>
      <c r="C167" s="57"/>
      <c r="D167" s="57"/>
      <c r="E167" s="51" t="s">
        <v>1176</v>
      </c>
      <c r="F167" s="51"/>
      <c r="G167" s="51" t="s">
        <v>1366</v>
      </c>
      <c r="H167" s="51" t="s">
        <v>1255</v>
      </c>
      <c r="I167" s="78" t="s">
        <v>1334</v>
      </c>
      <c r="J167" s="51">
        <v>1</v>
      </c>
      <c r="K167" s="37" t="s">
        <v>1243</v>
      </c>
      <c r="L167" s="50">
        <v>2014</v>
      </c>
      <c r="M167" s="110" t="s">
        <v>6</v>
      </c>
      <c r="N167" s="25"/>
      <c r="O167" s="25">
        <v>305.10000000000002</v>
      </c>
      <c r="P167" s="25"/>
      <c r="Q167" s="25"/>
      <c r="R167" s="25"/>
      <c r="S167" s="25"/>
      <c r="T167" s="25">
        <v>22.274000000000001</v>
      </c>
      <c r="U167" s="25">
        <v>327.37400000000002</v>
      </c>
      <c r="V167" s="30">
        <v>21.193149381541389</v>
      </c>
      <c r="W167" s="30">
        <v>290.29495718363461</v>
      </c>
      <c r="X167" s="31"/>
      <c r="Y167" s="31"/>
      <c r="Z167" s="31"/>
      <c r="AA167" s="31"/>
      <c r="AB167" s="31"/>
      <c r="AC167" s="31"/>
      <c r="AD167" s="31"/>
      <c r="AE167" s="32"/>
      <c r="AF167" s="16" t="s">
        <v>818</v>
      </c>
      <c r="AG167" s="3">
        <v>2000</v>
      </c>
      <c r="AH167" s="4"/>
      <c r="AI167" s="6">
        <v>1051</v>
      </c>
      <c r="AJ167" s="38">
        <v>100</v>
      </c>
      <c r="AK167" s="3"/>
      <c r="AL167" s="1" t="s">
        <v>819</v>
      </c>
      <c r="AM167" s="37"/>
      <c r="AN167" s="37"/>
      <c r="AO167" s="37"/>
      <c r="AP167" s="37"/>
      <c r="AQ167" s="37">
        <f>(30972*9.5)/1000</f>
        <v>294.23399999999998</v>
      </c>
      <c r="AR167" s="37">
        <f>(34892*9.5)/1000</f>
        <v>331.47399999999999</v>
      </c>
      <c r="AS167" s="37">
        <f>(31164*9.5)/1000</f>
        <v>296.05799999999999</v>
      </c>
      <c r="AT167" s="37">
        <f>(31518*9.5)/1000</f>
        <v>299.42099999999999</v>
      </c>
      <c r="AU167" s="37"/>
      <c r="AV167" s="37"/>
      <c r="AW167" s="37"/>
      <c r="AX167" s="37"/>
      <c r="AY167" s="37"/>
      <c r="AZ167" s="37"/>
      <c r="BA167" s="37"/>
      <c r="BB167" s="37"/>
      <c r="BC167" s="37">
        <v>73.400000000000006</v>
      </c>
      <c r="BD167" s="37">
        <v>74.099999999999994</v>
      </c>
      <c r="BE167" s="37">
        <v>73.400000000000006</v>
      </c>
      <c r="BF167" s="37">
        <v>77.400000000000006</v>
      </c>
      <c r="BG167" s="42"/>
      <c r="BH167" s="42">
        <v>305.29674999999997</v>
      </c>
      <c r="BI167" s="42"/>
      <c r="BJ167" s="42"/>
      <c r="BK167" s="107">
        <v>297.7</v>
      </c>
      <c r="BL167" s="107">
        <v>73.400000000000006</v>
      </c>
      <c r="BM167" s="107">
        <f>+BK167+BL167</f>
        <v>371.1</v>
      </c>
      <c r="BN167" s="108">
        <f>+BK167*1000/BQ167</f>
        <v>251.43581081081081</v>
      </c>
      <c r="BO167" s="108">
        <f>+BL167*1000/BQ167</f>
        <v>61.993243243243242</v>
      </c>
      <c r="BP167" s="109">
        <f>+BO167+BN167</f>
        <v>313.42905405405406</v>
      </c>
      <c r="BQ167" s="106">
        <v>1184</v>
      </c>
      <c r="BR167" s="110">
        <v>360</v>
      </c>
      <c r="BS167" s="110">
        <v>2000</v>
      </c>
      <c r="BT167" s="110" t="s">
        <v>872</v>
      </c>
      <c r="BU167" s="4"/>
      <c r="BV167" s="4" t="s">
        <v>991</v>
      </c>
      <c r="BW167" s="4"/>
      <c r="BX167" s="4"/>
      <c r="BY167" s="106">
        <v>22660</v>
      </c>
      <c r="BZ167" s="106">
        <v>11700</v>
      </c>
      <c r="CA167" s="114" t="s">
        <v>1328</v>
      </c>
      <c r="CB167" s="4">
        <v>0</v>
      </c>
      <c r="CC167" s="4">
        <v>0</v>
      </c>
      <c r="CD167" s="4">
        <v>0</v>
      </c>
      <c r="CE167" s="4">
        <v>0</v>
      </c>
      <c r="CF167" s="4">
        <v>0</v>
      </c>
      <c r="CG167" s="4">
        <v>0</v>
      </c>
      <c r="CH167" s="4">
        <v>0</v>
      </c>
      <c r="CI167" s="106">
        <v>60000</v>
      </c>
      <c r="CJ167" s="106">
        <v>5700</v>
      </c>
      <c r="CK167" s="115">
        <f>+CI167/CJ167</f>
        <v>10.526315789473685</v>
      </c>
      <c r="CL167" s="3" t="str">
        <f>CONCATENATE(IF(CB167&gt;0,"kotlovnica/toplotna postaja, ",""),IF(CF167&gt;0,"razsvetljava, ",""),IF(CG167&gt;0,"energetsko upravljanje, ",""),IF(CH167&gt;0,"manjši investicijski in organizacijski ukrepi, ",""))</f>
        <v/>
      </c>
      <c r="CM167" s="9">
        <f>+CJ167*0.9</f>
        <v>5130</v>
      </c>
      <c r="CN167" s="9">
        <f>+CJ167*0.9</f>
        <v>5130</v>
      </c>
      <c r="CO167" s="9">
        <f>+CJ167*0.9</f>
        <v>5130</v>
      </c>
      <c r="CP167" s="69">
        <f>+IF(CI167-SUM(CM167:CO167)&lt;0,0,CI167-SUM(CM167:CO167))</f>
        <v>44610</v>
      </c>
      <c r="CQ167" s="9">
        <f>+(BQ167*CE167*faktorji!$B$24)+(BQ167^0.5*CC167*4*4*0.66*faktorji!$B$22)+(BQ167^0.5*CD167*4*4*0.33*faktorji!$B$25)</f>
        <v>0</v>
      </c>
      <c r="CR167" s="3" t="str">
        <f t="shared" si="97"/>
        <v/>
      </c>
      <c r="CS167" s="9">
        <f>+BQ167*('MOL_tabela rezultatov'!CH167*faktorji!$B$26)+faktorji!$B$27*CG167</f>
        <v>0</v>
      </c>
      <c r="CT167" s="3" t="str">
        <f t="shared" si="95"/>
        <v/>
      </c>
      <c r="CU167" s="9">
        <f t="shared" si="127"/>
        <v>0</v>
      </c>
      <c r="CV167" s="9">
        <f t="shared" ref="CV167:CX167" si="142">+CU167</f>
        <v>0</v>
      </c>
      <c r="CW167" s="9">
        <f t="shared" si="142"/>
        <v>0</v>
      </c>
      <c r="CX167" s="69">
        <f t="shared" si="142"/>
        <v>0</v>
      </c>
    </row>
    <row r="168" spans="1:102" s="10" customFormat="1" ht="18" hidden="1" customHeight="1">
      <c r="A168" s="53" t="s">
        <v>40</v>
      </c>
      <c r="B168" s="3" t="s">
        <v>41</v>
      </c>
      <c r="C168" s="56"/>
      <c r="D168" s="56"/>
      <c r="E168" s="51" t="s">
        <v>1168</v>
      </c>
      <c r="F168" s="51" t="s">
        <v>1255</v>
      </c>
      <c r="G168" s="51">
        <v>2</v>
      </c>
      <c r="H168" s="51"/>
      <c r="I168" s="51"/>
      <c r="J168" s="51">
        <v>7</v>
      </c>
      <c r="K168" s="37" t="s">
        <v>1244</v>
      </c>
      <c r="L168" s="50"/>
      <c r="M168" s="4" t="s">
        <v>6</v>
      </c>
      <c r="N168" s="25"/>
      <c r="O168" s="25">
        <v>13.61</v>
      </c>
      <c r="P168" s="25"/>
      <c r="Q168" s="25"/>
      <c r="R168" s="25"/>
      <c r="S168" s="25"/>
      <c r="T168" s="25">
        <v>8.42</v>
      </c>
      <c r="U168" s="25">
        <v>22.03</v>
      </c>
      <c r="V168" s="30">
        <v>92.619073809261906</v>
      </c>
      <c r="W168" s="30">
        <v>149.70850291497086</v>
      </c>
      <c r="X168" s="31"/>
      <c r="Y168" s="31">
        <v>10.28</v>
      </c>
      <c r="Z168" s="31"/>
      <c r="AA168" s="31"/>
      <c r="AB168" s="31"/>
      <c r="AC168" s="31">
        <v>6.86</v>
      </c>
      <c r="AD168" s="31"/>
      <c r="AE168" s="32">
        <v>113.07886921130789</v>
      </c>
      <c r="AF168" s="1"/>
      <c r="AG168" s="4"/>
      <c r="AH168" s="4" t="s">
        <v>24</v>
      </c>
      <c r="AI168" s="6">
        <v>90.91</v>
      </c>
      <c r="AJ168" s="38">
        <v>100</v>
      </c>
      <c r="AK168" s="3" t="s">
        <v>25</v>
      </c>
      <c r="AL168" s="1" t="s">
        <v>26</v>
      </c>
      <c r="AM168" s="37"/>
      <c r="AN168" s="37"/>
      <c r="AO168" s="37"/>
      <c r="AP168" s="37"/>
      <c r="AQ168" s="37"/>
      <c r="AR168" s="37"/>
      <c r="AS168" s="37"/>
      <c r="AT168" s="37"/>
      <c r="AU168" s="37"/>
      <c r="AV168" s="37"/>
      <c r="AW168" s="37"/>
      <c r="AX168" s="37"/>
      <c r="AY168" s="37"/>
      <c r="AZ168" s="37"/>
      <c r="BA168" s="37"/>
      <c r="BB168" s="37"/>
      <c r="BC168" s="37"/>
      <c r="BD168" s="37"/>
      <c r="BE168" s="37"/>
      <c r="BF168" s="37"/>
      <c r="BG168" s="42"/>
      <c r="BH168" s="42">
        <v>13.07</v>
      </c>
      <c r="BI168" s="42"/>
      <c r="BJ168" s="42"/>
      <c r="BK168" s="44">
        <v>13.07</v>
      </c>
      <c r="BL168" s="44">
        <v>8.42</v>
      </c>
      <c r="BM168" s="44">
        <f>+BK168+BL168</f>
        <v>21.490000000000002</v>
      </c>
      <c r="BN168" s="47">
        <v>143.62637362637363</v>
      </c>
      <c r="BO168" s="47">
        <v>92.527472527472526</v>
      </c>
      <c r="BP168" s="45">
        <v>236.15384615384619</v>
      </c>
      <c r="BQ168" s="9">
        <v>91</v>
      </c>
      <c r="BR168" s="4"/>
      <c r="BS168" s="4"/>
      <c r="BT168" s="4"/>
      <c r="BU168" s="4"/>
      <c r="BV168" s="4"/>
      <c r="BW168" s="4"/>
      <c r="BX168" s="4"/>
      <c r="BY168" s="9">
        <f>+INT(BK168*faktorji!$B$5)</f>
        <v>1241</v>
      </c>
      <c r="BZ168" s="9">
        <f>+INT(BL168*faktorji!$B$4)</f>
        <v>1389</v>
      </c>
      <c r="CA168" s="3" t="s">
        <v>1313</v>
      </c>
      <c r="CB168" s="4">
        <v>0</v>
      </c>
      <c r="CC168" s="4">
        <v>0</v>
      </c>
      <c r="CD168" s="4">
        <v>0</v>
      </c>
      <c r="CE168" s="4">
        <v>0</v>
      </c>
      <c r="CF168" s="4">
        <v>0</v>
      </c>
      <c r="CG168" s="4">
        <v>1</v>
      </c>
      <c r="CH168" s="4">
        <v>1</v>
      </c>
      <c r="CI168" s="9">
        <f>+BQ168*(CB168*faktorji!$B$21+'MOL_tabela rezultatov'!CF11*faktorji!$B$23+'MOL_tabela rezultatov'!CH11*faktorji!$B$26)+faktorji!$B$27*CG168</f>
        <v>19501.5</v>
      </c>
      <c r="CJ168" s="9">
        <f>+(BZ168*CF168*faktorji!$B$18)+(CG168*faktorji!$B$17*('MOL_tabela rezultatov'!BY11+'MOL_tabela rezultatov'!BZ11))+('MOL_tabela rezultatov'!CH11*faktorji!$B$16*'MOL_tabela rezultatov'!BY11)+('MOL_tabela rezultatov'!CB11*faktorji!$B$12*'MOL_tabela rezultatov'!BY11)</f>
        <v>0</v>
      </c>
      <c r="CK168" s="66" t="e">
        <f>+CI168/CJ168</f>
        <v>#DIV/0!</v>
      </c>
      <c r="CL168" s="3" t="str">
        <f>CONCATENATE(IF(CB168&gt;0,"kotlovnica/toplotna postaja, ",""),IF(CF168&gt;0,"razsvetljava, ",""),IF(CG168&gt;0,"energetsko upravljanje, ",""),IF(CH168&gt;0,"manjši investicijski in organizacijski ukrepi, ",""))</f>
        <v xml:space="preserve">energetsko upravljanje, manjši investicijski in organizacijski ukrepi, </v>
      </c>
      <c r="CM168" s="9">
        <f>+CJ168*0.9</f>
        <v>0</v>
      </c>
      <c r="CN168" s="9">
        <f>+CJ168*0.9</f>
        <v>0</v>
      </c>
      <c r="CO168" s="9">
        <f>+CJ168*0.9</f>
        <v>0</v>
      </c>
      <c r="CP168" s="69">
        <f>+IF(CI168-SUM(CM168:CO168)&lt;0,0,CI168-SUM(CM168:CO168))</f>
        <v>19501.5</v>
      </c>
      <c r="CQ168" s="9">
        <f>+(BQ168*CE168*faktorji!$B$24)+(BQ168^0.5*CC168*4*4*0.66*faktorji!$B$22)+(BQ168^0.5*CD168*4*4*0.33*faktorji!$B$25)</f>
        <v>0</v>
      </c>
      <c r="CR168" s="3" t="str">
        <f t="shared" si="97"/>
        <v/>
      </c>
      <c r="CS168" s="9">
        <f>+BQ168*('MOL_tabela rezultatov'!CH168*faktorji!$B$26)+faktorji!$B$27*CG168</f>
        <v>18136.5</v>
      </c>
      <c r="CT168" s="3" t="str">
        <f t="shared" si="95"/>
        <v xml:space="preserve">energetsko upravljanje, manjši investicijski in organizacijski ukrepi, </v>
      </c>
      <c r="CU168" s="9">
        <f t="shared" si="127"/>
        <v>4534.125</v>
      </c>
      <c r="CV168" s="9">
        <f t="shared" ref="CV168:CX168" si="143">+CU168</f>
        <v>4534.125</v>
      </c>
      <c r="CW168" s="9">
        <f t="shared" si="143"/>
        <v>4534.125</v>
      </c>
      <c r="CX168" s="69">
        <f t="shared" si="143"/>
        <v>4534.125</v>
      </c>
    </row>
    <row r="169" spans="1:102" s="10" customFormat="1" ht="18" hidden="1" customHeight="1">
      <c r="A169" s="53" t="s">
        <v>762</v>
      </c>
      <c r="B169" s="2" t="s">
        <v>763</v>
      </c>
      <c r="C169" s="57"/>
      <c r="D169" s="57"/>
      <c r="E169" s="51" t="s">
        <v>1176</v>
      </c>
      <c r="F169" s="51"/>
      <c r="G169" s="51">
        <v>3</v>
      </c>
      <c r="H169" s="51"/>
      <c r="I169" s="51"/>
      <c r="J169" s="51">
        <v>7</v>
      </c>
      <c r="K169" s="37" t="s">
        <v>1242</v>
      </c>
      <c r="L169" s="50"/>
      <c r="M169" s="4" t="s">
        <v>5</v>
      </c>
      <c r="N169" s="28">
        <v>30</v>
      </c>
      <c r="O169" s="25"/>
      <c r="P169" s="25"/>
      <c r="Q169" s="25"/>
      <c r="R169" s="25"/>
      <c r="S169" s="25"/>
      <c r="T169" s="25">
        <v>4.7160000000000002</v>
      </c>
      <c r="U169" s="25">
        <v>34.716000000000001</v>
      </c>
      <c r="V169" s="30">
        <v>17.729323308270679</v>
      </c>
      <c r="W169" s="30">
        <v>112.78195488721805</v>
      </c>
      <c r="X169" s="31"/>
      <c r="Y169" s="31"/>
      <c r="Z169" s="31"/>
      <c r="AA169" s="31"/>
      <c r="AB169" s="31"/>
      <c r="AC169" s="31"/>
      <c r="AD169" s="31"/>
      <c r="AE169" s="32"/>
      <c r="AF169" s="16" t="s">
        <v>468</v>
      </c>
      <c r="AG169" s="3"/>
      <c r="AH169" s="4"/>
      <c r="AI169" s="6">
        <v>266</v>
      </c>
      <c r="AJ169" s="38">
        <v>100</v>
      </c>
      <c r="AK169" s="3"/>
      <c r="AL169" s="1" t="s">
        <v>764</v>
      </c>
      <c r="AM169" s="39">
        <v>31.6</v>
      </c>
      <c r="AN169" s="39">
        <v>31.8</v>
      </c>
      <c r="AO169" s="39">
        <v>30.5</v>
      </c>
      <c r="AP169" s="39">
        <v>28.5</v>
      </c>
      <c r="AQ169" s="37"/>
      <c r="AR169" s="37"/>
      <c r="AS169" s="37"/>
      <c r="AT169" s="37"/>
      <c r="AU169" s="37"/>
      <c r="AV169" s="37"/>
      <c r="AW169" s="37"/>
      <c r="AX169" s="37"/>
      <c r="AY169" s="37"/>
      <c r="AZ169" s="37"/>
      <c r="BA169" s="37"/>
      <c r="BB169" s="37"/>
      <c r="BC169" s="37"/>
      <c r="BD169" s="37"/>
      <c r="BE169" s="37"/>
      <c r="BF169" s="37"/>
      <c r="BG169" s="42">
        <v>30.6</v>
      </c>
      <c r="BH169" s="42"/>
      <c r="BI169" s="42"/>
      <c r="BJ169" s="42"/>
      <c r="BK169" s="44">
        <v>30.6</v>
      </c>
      <c r="BL169" s="44">
        <v>4.72</v>
      </c>
      <c r="BM169" s="44">
        <f>+BK169+BL169</f>
        <v>35.32</v>
      </c>
      <c r="BN169" s="47">
        <v>115.0375939849624</v>
      </c>
      <c r="BO169" s="47">
        <v>17.744360902255639</v>
      </c>
      <c r="BP169" s="45">
        <v>132.78195488721803</v>
      </c>
      <c r="BQ169" s="9">
        <v>266</v>
      </c>
      <c r="BR169" s="4">
        <v>80</v>
      </c>
      <c r="BS169" s="4">
        <v>1981</v>
      </c>
      <c r="BT169" s="4" t="s">
        <v>945</v>
      </c>
      <c r="BU169" s="4" t="s">
        <v>136</v>
      </c>
      <c r="BV169" s="4"/>
      <c r="BW169" s="4"/>
      <c r="BX169" s="4" t="s">
        <v>946</v>
      </c>
      <c r="BY169" s="9">
        <f>+INT(BK169*faktorji!$B$3)</f>
        <v>1989</v>
      </c>
      <c r="BZ169" s="9">
        <f>+INT(BL169*faktorji!$B$4)</f>
        <v>778</v>
      </c>
      <c r="CA169" s="4"/>
      <c r="CB169" s="4">
        <v>1</v>
      </c>
      <c r="CC169" s="4">
        <v>1</v>
      </c>
      <c r="CD169" s="4">
        <v>1</v>
      </c>
      <c r="CE169" s="4">
        <v>1</v>
      </c>
      <c r="CF169" s="4">
        <v>1</v>
      </c>
      <c r="CG169" s="4">
        <v>1</v>
      </c>
      <c r="CH169" s="4">
        <v>1</v>
      </c>
      <c r="CI169" s="9">
        <f>+BQ169*(CB169*faktorji!$B$21+'MOL_tabela rezultatov'!CF277*faktorji!$B$23+'MOL_tabela rezultatov'!CH277*faktorji!$B$26)+faktorji!$B$27*CG169</f>
        <v>26379</v>
      </c>
      <c r="CJ169" s="9">
        <f>+(BZ169*CF169*faktorji!$B$18)+(CG169*faktorji!$B$17*('MOL_tabela rezultatov'!BY277+'MOL_tabela rezultatov'!BZ277))+('MOL_tabela rezultatov'!CH277*faktorji!$B$16*'MOL_tabela rezultatov'!BY277)+('MOL_tabela rezultatov'!CB277*faktorji!$B$12*'MOL_tabela rezultatov'!BY277)</f>
        <v>966.40000000000009</v>
      </c>
      <c r="CK169" s="66">
        <f>+CI169/CJ169</f>
        <v>27.296150662251652</v>
      </c>
      <c r="CL169" s="3" t="str">
        <f>CONCATENATE(IF(CB169&gt;0,"kotlovnica/toplotna postaja, ",""),IF(CF169&gt;0,"razsvetljava, ",""),IF(CG169&gt;0,"energetsko upravljanje, ",""),IF(CH169&gt;0,"manjši investicijski in organizacijski ukrepi, ",""))</f>
        <v xml:space="preserve">kotlovnica/toplotna postaja, razsvetljava, energetsko upravljanje, manjši investicijski in organizacijski ukrepi, </v>
      </c>
      <c r="CM169" s="9">
        <f>+CJ169*0.9</f>
        <v>869.7600000000001</v>
      </c>
      <c r="CN169" s="9">
        <f>+CJ169*0.9</f>
        <v>869.7600000000001</v>
      </c>
      <c r="CO169" s="9">
        <f>+CJ169*0.9</f>
        <v>869.7600000000001</v>
      </c>
      <c r="CP169" s="69">
        <f>+IF(CI169-SUM(CM169:CO169)&lt;0,0,CI169-SUM(CM169:CO169))</f>
        <v>23769.72</v>
      </c>
      <c r="CQ169" s="9">
        <f>+(BQ169*CE169*faktorji!$B$24)+(BQ169^0.5*CC169*4*4*0.66*faktorji!$B$22)+(BQ169^0.5*CD169*4*4*0.33*faktorji!$B$25)</f>
        <v>38904.535641273949</v>
      </c>
      <c r="CR169" s="3" t="str">
        <f t="shared" si="97"/>
        <v xml:space="preserve">izolacija ovoja, stavbno pohištvo, izolacija podstrešja, </v>
      </c>
      <c r="CS169" s="9">
        <f>+BQ169*('MOL_tabela rezultatov'!CH169*faktorji!$B$26)+faktorji!$B$27*CG169</f>
        <v>18399</v>
      </c>
      <c r="CT169" s="3" t="str">
        <f t="shared" si="95"/>
        <v xml:space="preserve">energetsko upravljanje, manjši investicijski in organizacijski ukrepi, </v>
      </c>
      <c r="CU169" s="9">
        <f t="shared" si="127"/>
        <v>4599.75</v>
      </c>
      <c r="CV169" s="9">
        <f t="shared" ref="CV169:CX169" si="144">+CU169</f>
        <v>4599.75</v>
      </c>
      <c r="CW169" s="9">
        <f t="shared" si="144"/>
        <v>4599.75</v>
      </c>
      <c r="CX169" s="69">
        <f t="shared" si="144"/>
        <v>4599.75</v>
      </c>
    </row>
    <row r="170" spans="1:102" s="10" customFormat="1" ht="18" hidden="1" customHeight="1">
      <c r="A170" s="54" t="s">
        <v>280</v>
      </c>
      <c r="B170" s="3" t="s">
        <v>281</v>
      </c>
      <c r="C170" s="56"/>
      <c r="D170" s="56"/>
      <c r="E170" s="51" t="s">
        <v>1174</v>
      </c>
      <c r="F170" s="51"/>
      <c r="G170" s="51">
        <v>4</v>
      </c>
      <c r="H170" s="51"/>
      <c r="I170" s="51"/>
      <c r="J170" s="51">
        <v>7</v>
      </c>
      <c r="K170" s="37" t="s">
        <v>1244</v>
      </c>
      <c r="L170" s="50"/>
      <c r="M170" s="4" t="s">
        <v>5</v>
      </c>
      <c r="N170" s="25">
        <v>21.73</v>
      </c>
      <c r="O170" s="25"/>
      <c r="P170" s="25"/>
      <c r="Q170" s="25"/>
      <c r="R170" s="25"/>
      <c r="S170" s="25"/>
      <c r="T170" s="25">
        <v>2.7</v>
      </c>
      <c r="U170" s="25">
        <v>24.43</v>
      </c>
      <c r="V170" s="30">
        <v>18.243243243243246</v>
      </c>
      <c r="W170" s="30">
        <v>146.82432432432432</v>
      </c>
      <c r="X170" s="31"/>
      <c r="Y170" s="31"/>
      <c r="Z170" s="31"/>
      <c r="AA170" s="31"/>
      <c r="AB170" s="31"/>
      <c r="AC170" s="31"/>
      <c r="AD170" s="31"/>
      <c r="AE170" s="32"/>
      <c r="AF170" s="1"/>
      <c r="AG170" s="4">
        <v>1986</v>
      </c>
      <c r="AH170" s="4"/>
      <c r="AI170" s="6">
        <v>148</v>
      </c>
      <c r="AJ170" s="38">
        <v>5.3</v>
      </c>
      <c r="AK170" s="3"/>
      <c r="AL170" s="1"/>
      <c r="AM170" s="37"/>
      <c r="AN170" s="37"/>
      <c r="AO170" s="37"/>
      <c r="AP170" s="37"/>
      <c r="AQ170" s="37"/>
      <c r="AR170" s="37"/>
      <c r="AS170" s="37"/>
      <c r="AT170" s="37"/>
      <c r="AU170" s="37"/>
      <c r="AV170" s="37"/>
      <c r="AW170" s="37"/>
      <c r="AX170" s="37"/>
      <c r="AY170" s="37"/>
      <c r="AZ170" s="37"/>
      <c r="BA170" s="37"/>
      <c r="BB170" s="37"/>
      <c r="BC170" s="37"/>
      <c r="BD170" s="37"/>
      <c r="BE170" s="37"/>
      <c r="BF170" s="37"/>
      <c r="BG170" s="42">
        <v>19.8</v>
      </c>
      <c r="BH170" s="42"/>
      <c r="BI170" s="42"/>
      <c r="BJ170" s="42"/>
      <c r="BK170" s="44">
        <v>19.8</v>
      </c>
      <c r="BL170" s="44">
        <v>3.4780000000000002</v>
      </c>
      <c r="BM170" s="44">
        <f>+BK170+BL170</f>
        <v>23.278000000000002</v>
      </c>
      <c r="BN170" s="47">
        <v>133.78378378378378</v>
      </c>
      <c r="BO170" s="47">
        <v>23.5</v>
      </c>
      <c r="BP170" s="45">
        <v>157.2837837837838</v>
      </c>
      <c r="BQ170" s="6">
        <v>148</v>
      </c>
      <c r="BR170" s="4"/>
      <c r="BS170" s="4"/>
      <c r="BT170" s="4"/>
      <c r="BU170" s="4"/>
      <c r="BV170" s="4"/>
      <c r="BW170" s="4"/>
      <c r="BX170" s="4"/>
      <c r="BY170" s="9">
        <f>+INT(BK170*faktorji!$B$3)</f>
        <v>1287</v>
      </c>
      <c r="BZ170" s="9">
        <f>+INT(BL170*faktorji!$B$4)</f>
        <v>573</v>
      </c>
      <c r="CA170" s="4"/>
      <c r="CB170" s="4">
        <v>0</v>
      </c>
      <c r="CC170" s="4">
        <v>0</v>
      </c>
      <c r="CD170" s="4">
        <v>0</v>
      </c>
      <c r="CE170" s="4">
        <v>0</v>
      </c>
      <c r="CF170" s="4">
        <v>1</v>
      </c>
      <c r="CG170" s="4">
        <v>1</v>
      </c>
      <c r="CH170" s="4">
        <v>1</v>
      </c>
      <c r="CI170" s="9">
        <f>+BQ170*(CB170*faktorji!$B$21+'MOL_tabela rezultatov'!CF108*faktorji!$B$23+'MOL_tabela rezultatov'!CH108*faktorji!$B$26)+faktorji!$B$27*CG170</f>
        <v>20442</v>
      </c>
      <c r="CJ170" s="9">
        <f>+(BZ170*CF170*faktorji!$B$18)+(CG170*faktorji!$B$17*('MOL_tabela rezultatov'!BY108+'MOL_tabela rezultatov'!BZ108))+('MOL_tabela rezultatov'!CH108*faktorji!$B$16*'MOL_tabela rezultatov'!BY108)+('MOL_tabela rezultatov'!CB108*faktorji!$B$12*'MOL_tabela rezultatov'!BY108)</f>
        <v>228.95000000000002</v>
      </c>
      <c r="CK170" s="66">
        <f>+CI170/CJ170</f>
        <v>89.285870277353126</v>
      </c>
      <c r="CL170" s="3" t="str">
        <f>CONCATENATE(IF(CB170&gt;0,"kotlovnica/toplotna postaja, ",""),IF(CF170&gt;0,"razsvetljava, ",""),IF(CG170&gt;0,"energetsko upravljanje, ",""),IF(CH170&gt;0,"manjši investicijski in organizacijski ukrepi, ",""))</f>
        <v xml:space="preserve">razsvetljava, energetsko upravljanje, manjši investicijski in organizacijski ukrepi, </v>
      </c>
      <c r="CM170" s="9">
        <f>+CJ170*0.9</f>
        <v>206.05500000000001</v>
      </c>
      <c r="CN170" s="9">
        <f>+CJ170*0.9</f>
        <v>206.05500000000001</v>
      </c>
      <c r="CO170" s="9">
        <f>+CJ170*0.9</f>
        <v>206.05500000000001</v>
      </c>
      <c r="CP170" s="69">
        <f>+IF(CI170-SUM(CM170:CO170)&lt;0,0,CI170-SUM(CM170:CO170))</f>
        <v>19823.834999999999</v>
      </c>
      <c r="CQ170" s="9">
        <f>+(BQ170*CE170*faktorji!$B$24)+(BQ170^0.5*CC170*4*4*0.66*faktorji!$B$22)+(BQ170^0.5*CD170*4*4*0.33*faktorji!$B$25)</f>
        <v>0</v>
      </c>
      <c r="CR170" s="3" t="str">
        <f t="shared" si="97"/>
        <v/>
      </c>
      <c r="CS170" s="9">
        <f>+BQ170*('MOL_tabela rezultatov'!CH170*faktorji!$B$26)+faktorji!$B$27*CG170</f>
        <v>18222</v>
      </c>
      <c r="CT170" s="3" t="str">
        <f t="shared" si="95"/>
        <v xml:space="preserve">energetsko upravljanje, manjši investicijski in organizacijski ukrepi, </v>
      </c>
      <c r="CU170" s="9">
        <f t="shared" si="127"/>
        <v>4555.5</v>
      </c>
      <c r="CV170" s="9">
        <f t="shared" ref="CV170:CX170" si="145">+CU170</f>
        <v>4555.5</v>
      </c>
      <c r="CW170" s="9">
        <f t="shared" si="145"/>
        <v>4555.5</v>
      </c>
      <c r="CX170" s="69">
        <f t="shared" si="145"/>
        <v>4555.5</v>
      </c>
    </row>
    <row r="171" spans="1:102" s="10" customFormat="1" ht="18" hidden="1" customHeight="1">
      <c r="A171" s="53" t="s">
        <v>835</v>
      </c>
      <c r="B171" s="2" t="s">
        <v>836</v>
      </c>
      <c r="C171" s="57"/>
      <c r="D171" s="57"/>
      <c r="E171" s="51" t="s">
        <v>1176</v>
      </c>
      <c r="F171" s="51"/>
      <c r="G171" s="51">
        <v>3</v>
      </c>
      <c r="H171" s="51"/>
      <c r="I171" s="51"/>
      <c r="J171" s="51">
        <v>7</v>
      </c>
      <c r="K171" s="37" t="s">
        <v>1243</v>
      </c>
      <c r="L171" s="50"/>
      <c r="M171" s="4" t="s">
        <v>5</v>
      </c>
      <c r="N171" s="25">
        <v>223</v>
      </c>
      <c r="O171" s="25"/>
      <c r="P171" s="25"/>
      <c r="Q171" s="25"/>
      <c r="R171" s="25"/>
      <c r="S171" s="25"/>
      <c r="T171" s="27">
        <v>26.642749999999999</v>
      </c>
      <c r="U171" s="25">
        <v>249.64275000000001</v>
      </c>
      <c r="V171" s="30">
        <v>20.494423076923077</v>
      </c>
      <c r="W171" s="30">
        <v>171.53846153846155</v>
      </c>
      <c r="X171" s="31"/>
      <c r="Y171" s="31"/>
      <c r="Z171" s="31"/>
      <c r="AA171" s="31"/>
      <c r="AB171" s="31"/>
      <c r="AC171" s="31"/>
      <c r="AD171" s="31"/>
      <c r="AE171" s="32"/>
      <c r="AF171" s="16"/>
      <c r="AG171" s="3"/>
      <c r="AH171" s="4"/>
      <c r="AI171" s="12">
        <v>1300</v>
      </c>
      <c r="AJ171" s="38">
        <v>100</v>
      </c>
      <c r="AK171" s="3"/>
      <c r="AL171" s="1" t="s">
        <v>421</v>
      </c>
      <c r="AM171" s="37"/>
      <c r="AN171" s="37"/>
      <c r="AO171" s="37"/>
      <c r="AP171" s="37"/>
      <c r="AQ171" s="37">
        <f>(1948*9.5)/1000</f>
        <v>18.506</v>
      </c>
      <c r="AR171" s="37">
        <f>(1550*9.5)/1000</f>
        <v>14.725</v>
      </c>
      <c r="AS171" s="37">
        <f>(1614*9.5)/1000</f>
        <v>15.333</v>
      </c>
      <c r="AT171" s="37">
        <f>(1713*9.5)/1000</f>
        <v>16.273499999999999</v>
      </c>
      <c r="AU171" s="37"/>
      <c r="AV171" s="37"/>
      <c r="AW171" s="37"/>
      <c r="AX171" s="37"/>
      <c r="AY171" s="37"/>
      <c r="AZ171" s="37"/>
      <c r="BA171" s="37"/>
      <c r="BB171" s="37"/>
      <c r="BC171" s="37">
        <v>125.9</v>
      </c>
      <c r="BD171" s="37">
        <v>136</v>
      </c>
      <c r="BE171" s="37">
        <v>134.1</v>
      </c>
      <c r="BF171" s="37">
        <v>126.9</v>
      </c>
      <c r="BG171" s="42">
        <v>298</v>
      </c>
      <c r="BH171" s="42">
        <v>16.209375000000001</v>
      </c>
      <c r="BI171" s="43"/>
      <c r="BJ171" s="43"/>
      <c r="BK171" s="44">
        <v>314.20937500000002</v>
      </c>
      <c r="BL171" s="44">
        <v>130.72499999999999</v>
      </c>
      <c r="BM171" s="44">
        <f>+BK171+BL171</f>
        <v>444.93437500000005</v>
      </c>
      <c r="BN171" s="47">
        <v>154.09974252084356</v>
      </c>
      <c r="BO171" s="47">
        <v>64.112309955860709</v>
      </c>
      <c r="BP171" s="45">
        <v>218.21205247670429</v>
      </c>
      <c r="BQ171" s="9">
        <v>2039</v>
      </c>
      <c r="BR171" s="4">
        <v>518</v>
      </c>
      <c r="BS171" s="4">
        <v>1998</v>
      </c>
      <c r="BT171" s="4" t="s">
        <v>872</v>
      </c>
      <c r="BU171" s="4"/>
      <c r="BV171" s="4" t="s">
        <v>994</v>
      </c>
      <c r="BW171" s="4" t="s">
        <v>980</v>
      </c>
      <c r="BX171" s="4"/>
      <c r="BY171" s="9">
        <f>+INT(BK171*faktorji!$B$3)</f>
        <v>20423</v>
      </c>
      <c r="BZ171" s="9">
        <f>+INT(BL171*faktorji!$B$4)</f>
        <v>21569</v>
      </c>
      <c r="CA171" s="4"/>
      <c r="CB171" s="4">
        <v>1</v>
      </c>
      <c r="CC171" s="4">
        <v>0</v>
      </c>
      <c r="CD171" s="4">
        <v>0.5</v>
      </c>
      <c r="CE171" s="4">
        <v>1</v>
      </c>
      <c r="CF171" s="4">
        <v>1</v>
      </c>
      <c r="CG171" s="4">
        <v>1</v>
      </c>
      <c r="CH171" s="4">
        <v>1</v>
      </c>
      <c r="CI171" s="9">
        <f>+BQ171*(CB171*faktorji!$B$21+'MOL_tabela rezultatov'!CF305*faktorji!$B$23+'MOL_tabela rezultatov'!CH305*faktorji!$B$26)+faktorji!$B$27*CG171</f>
        <v>82228.5</v>
      </c>
      <c r="CJ171" s="9">
        <f>+(BZ171*CF171*faktorji!$B$18)+(CG171*faktorji!$B$17*('MOL_tabela rezultatov'!BY305+'MOL_tabela rezultatov'!BZ305))+('MOL_tabela rezultatov'!CH305*faktorji!$B$16*'MOL_tabela rezultatov'!BY305)+('MOL_tabela rezultatov'!CB305*faktorji!$B$12*'MOL_tabela rezultatov'!BY305)</f>
        <v>8244.35</v>
      </c>
      <c r="CK171" s="66">
        <f>+CI171/CJ171</f>
        <v>9.9739215341415637</v>
      </c>
      <c r="CL171" s="3" t="str">
        <f>CONCATENATE(IF(CB171&gt;0,"kotlovnica/toplotna postaja, ",""),IF(CF171&gt;0,"razsvetljava, ",""),IF(CG171&gt;0,"energetsko upravljanje, ",""),IF(CH171&gt;0,"manjši investicijski in organizacijski ukrepi, ",""))</f>
        <v xml:space="preserve">kotlovnica/toplotna postaja, razsvetljava, energetsko upravljanje, manjši investicijski in organizacijski ukrepi, </v>
      </c>
      <c r="CM171" s="9">
        <f>+CJ171*0.9</f>
        <v>7419.9150000000009</v>
      </c>
      <c r="CN171" s="9">
        <f>+CJ171*0.9</f>
        <v>7419.9150000000009</v>
      </c>
      <c r="CO171" s="9">
        <f>+CJ171*0.9</f>
        <v>7419.9150000000009</v>
      </c>
      <c r="CP171" s="69">
        <f>+IF(CI171-SUM(CM171:CO171)&lt;0,0,CI171-SUM(CM171:CO171))</f>
        <v>59968.754999999997</v>
      </c>
      <c r="CQ171" s="9">
        <f>+(BQ171*CE171*faktorji!$B$24)+(BQ171^0.5*CC171*4*4*0.66*faktorji!$B$22)+(BQ171^0.5*CD171*4*4*0.33*faktorji!$B$25)</f>
        <v>70582.489828871679</v>
      </c>
      <c r="CR171" s="3" t="str">
        <f t="shared" si="97"/>
        <v xml:space="preserve">stavbno pohištvo, izolacija podstrešja, </v>
      </c>
      <c r="CS171" s="9">
        <f>+BQ171*('MOL_tabela rezultatov'!CH171*faktorji!$B$26)+faktorji!$B$27*CG171</f>
        <v>21058.5</v>
      </c>
      <c r="CT171" s="3" t="str">
        <f t="shared" si="95"/>
        <v xml:space="preserve">energetsko upravljanje, manjši investicijski in organizacijski ukrepi, </v>
      </c>
      <c r="CU171" s="9">
        <f t="shared" si="127"/>
        <v>5264.625</v>
      </c>
      <c r="CV171" s="9">
        <f t="shared" ref="CV171:CX171" si="146">+CU171</f>
        <v>5264.625</v>
      </c>
      <c r="CW171" s="9">
        <f t="shared" si="146"/>
        <v>5264.625</v>
      </c>
      <c r="CX171" s="69">
        <f t="shared" si="146"/>
        <v>5264.625</v>
      </c>
    </row>
    <row r="172" spans="1:102" s="10" customFormat="1" ht="18" customHeight="1">
      <c r="A172" s="117" t="s">
        <v>257</v>
      </c>
      <c r="B172" s="146" t="s">
        <v>258</v>
      </c>
      <c r="C172" s="57"/>
      <c r="D172" s="57"/>
      <c r="E172" s="51" t="s">
        <v>1173</v>
      </c>
      <c r="F172" s="51"/>
      <c r="G172" s="51">
        <v>2</v>
      </c>
      <c r="H172" s="51"/>
      <c r="I172" s="51"/>
      <c r="J172" s="51">
        <v>3</v>
      </c>
      <c r="K172" s="37" t="s">
        <v>1243</v>
      </c>
      <c r="L172" s="50"/>
      <c r="M172" s="4" t="s">
        <v>5</v>
      </c>
      <c r="N172" s="25">
        <v>296.02</v>
      </c>
      <c r="O172" s="25"/>
      <c r="P172" s="25"/>
      <c r="Q172" s="25"/>
      <c r="R172" s="25"/>
      <c r="S172" s="25"/>
      <c r="T172" s="25">
        <v>62.177279547685025</v>
      </c>
      <c r="U172" s="25">
        <v>358.19727954768501</v>
      </c>
      <c r="V172" s="30">
        <v>26.458416828802136</v>
      </c>
      <c r="W172" s="30">
        <v>125.96595744680852</v>
      </c>
      <c r="X172" s="33">
        <v>228.81</v>
      </c>
      <c r="Y172" s="31"/>
      <c r="Z172" s="31"/>
      <c r="AA172" s="31"/>
      <c r="AB172" s="31"/>
      <c r="AC172" s="31">
        <v>111.41</v>
      </c>
      <c r="AD172" s="31"/>
      <c r="AE172" s="32">
        <v>97.365957446808508</v>
      </c>
      <c r="AF172" s="1"/>
      <c r="AG172" s="4"/>
      <c r="AH172" s="4"/>
      <c r="AI172" s="6">
        <v>2350</v>
      </c>
      <c r="AJ172" s="38">
        <v>100</v>
      </c>
      <c r="AK172" s="3"/>
      <c r="AL172" s="1" t="s">
        <v>250</v>
      </c>
      <c r="AM172" s="37">
        <v>322.2</v>
      </c>
      <c r="AN172" s="37">
        <v>366.7</v>
      </c>
      <c r="AO172" s="37">
        <v>322.89999999999998</v>
      </c>
      <c r="AP172" s="37">
        <v>315.89999999999998</v>
      </c>
      <c r="AQ172" s="37"/>
      <c r="AR172" s="37"/>
      <c r="AS172" s="37"/>
      <c r="AT172" s="37"/>
      <c r="AU172" s="37"/>
      <c r="AV172" s="37"/>
      <c r="AW172" s="37"/>
      <c r="AX172" s="37"/>
      <c r="AY172" s="37"/>
      <c r="AZ172" s="37"/>
      <c r="BA172" s="37"/>
      <c r="BB172" s="37"/>
      <c r="BC172" s="37">
        <v>105.9</v>
      </c>
      <c r="BD172" s="37">
        <v>107.3</v>
      </c>
      <c r="BE172" s="37">
        <v>107.5</v>
      </c>
      <c r="BF172" s="37">
        <v>107.9</v>
      </c>
      <c r="BG172" s="42">
        <v>331.92499999999995</v>
      </c>
      <c r="BH172" s="42"/>
      <c r="BI172" s="42"/>
      <c r="BJ172" s="42"/>
      <c r="BK172" s="44">
        <v>331.92499999999995</v>
      </c>
      <c r="BL172" s="44">
        <v>107.15</v>
      </c>
      <c r="BM172" s="44">
        <f>+BK172+BL172</f>
        <v>439.07499999999993</v>
      </c>
      <c r="BN172" s="47">
        <v>151.08101957214382</v>
      </c>
      <c r="BO172" s="47">
        <v>48.77105143377333</v>
      </c>
      <c r="BP172" s="45">
        <v>199.85207100591714</v>
      </c>
      <c r="BQ172" s="9">
        <v>2197</v>
      </c>
      <c r="BR172" s="4">
        <v>229.7</v>
      </c>
      <c r="BS172" s="4"/>
      <c r="BT172" s="4" t="s">
        <v>1156</v>
      </c>
      <c r="BU172" s="4" t="s">
        <v>136</v>
      </c>
      <c r="BV172" s="4"/>
      <c r="BW172" s="4" t="s">
        <v>1157</v>
      </c>
      <c r="BX172" s="4"/>
      <c r="BY172" s="9">
        <f>+INT(BK172*faktorji!$B$3)</f>
        <v>21575</v>
      </c>
      <c r="BZ172" s="9">
        <f>+INT(BL172*faktorji!$B$4)</f>
        <v>17679</v>
      </c>
      <c r="CA172" s="72" t="s">
        <v>1315</v>
      </c>
      <c r="CB172" s="4">
        <v>0</v>
      </c>
      <c r="CC172" s="4">
        <v>0</v>
      </c>
      <c r="CD172" s="4">
        <v>0</v>
      </c>
      <c r="CE172" s="4">
        <v>0</v>
      </c>
      <c r="CF172" s="4">
        <v>1</v>
      </c>
      <c r="CG172" s="4">
        <v>1</v>
      </c>
      <c r="CH172" s="4">
        <v>1</v>
      </c>
      <c r="CI172" s="9">
        <f>+BQ172*(CB172*faktorji!$B$21+'MOL_tabela rezultatov'!CF95*faktorji!$B$23+'MOL_tabela rezultatov'!CH95*faktorji!$B$26)+faktorji!$B$27*CG172</f>
        <v>54250.5</v>
      </c>
      <c r="CJ172" s="9">
        <f>+(BZ172*CF172*faktorji!$B$18)+(CG172*faktorji!$B$17*('MOL_tabela rezultatov'!BY95+'MOL_tabela rezultatov'!BZ95))+('MOL_tabela rezultatov'!CH95*faktorji!$B$16*'MOL_tabela rezultatov'!BY95)+('MOL_tabela rezultatov'!CB95*faktorji!$B$12*'MOL_tabela rezultatov'!BY95)</f>
        <v>7879.05</v>
      </c>
      <c r="CK172" s="66">
        <f>+CI172/CJ172</f>
        <v>6.8854113122774949</v>
      </c>
      <c r="CL172" s="3" t="str">
        <f>CONCATENATE(IF(CB172&gt;0,"kotlovnica/toplotna postaja, ",""),IF(CF172&gt;0,"razsvetljava, ",""),IF(CG172&gt;0,"energetsko upravljanje, ",""),IF(CH172&gt;0,"manjši investicijski in organizacijski ukrepi, ",""))</f>
        <v xml:space="preserve">razsvetljava, energetsko upravljanje, manjši investicijski in organizacijski ukrepi, </v>
      </c>
      <c r="CM172" s="9">
        <f>+CJ172*0.9</f>
        <v>7091.1450000000004</v>
      </c>
      <c r="CN172" s="9">
        <f>+CJ172*0.9</f>
        <v>7091.1450000000004</v>
      </c>
      <c r="CO172" s="9">
        <f>+CJ172*0.9</f>
        <v>7091.1450000000004</v>
      </c>
      <c r="CP172" s="69">
        <f>+IF(CI172-SUM(CM172:CO172)&lt;0,0,CI172-SUM(CM172:CO172))</f>
        <v>32977.065000000002</v>
      </c>
      <c r="CQ172" s="9">
        <f>+(BQ172*CE172*faktorji!$B$24)+(BQ172^0.5*CC172*4*4*0.66*faktorji!$B$22)+(BQ172^0.5*CD172*4*4*0.33*faktorji!$B$25)</f>
        <v>0</v>
      </c>
      <c r="CR172" s="3" t="str">
        <f t="shared" si="97"/>
        <v/>
      </c>
      <c r="CS172" s="9">
        <f>+BQ172*('MOL_tabela rezultatov'!CH172*faktorji!$B$26)+faktorji!$B$27*CG172</f>
        <v>21295.5</v>
      </c>
      <c r="CT172" s="3" t="str">
        <f t="shared" si="95"/>
        <v xml:space="preserve">energetsko upravljanje, manjši investicijski in organizacijski ukrepi, </v>
      </c>
      <c r="CU172" s="9">
        <f t="shared" si="127"/>
        <v>5323.875</v>
      </c>
      <c r="CV172" s="9">
        <f t="shared" ref="CV172:CX172" si="147">+CU172</f>
        <v>5323.875</v>
      </c>
      <c r="CW172" s="9">
        <f t="shared" si="147"/>
        <v>5323.875</v>
      </c>
      <c r="CX172" s="69">
        <f t="shared" si="147"/>
        <v>5323.875</v>
      </c>
    </row>
    <row r="173" spans="1:102" s="10" customFormat="1" ht="18" hidden="1" customHeight="1">
      <c r="A173" s="54" t="s">
        <v>541</v>
      </c>
      <c r="B173" s="136" t="s">
        <v>542</v>
      </c>
      <c r="C173" s="56"/>
      <c r="D173" s="56"/>
      <c r="E173" s="51" t="s">
        <v>1175</v>
      </c>
      <c r="F173" s="51"/>
      <c r="G173" s="51">
        <v>3</v>
      </c>
      <c r="H173" s="51"/>
      <c r="I173" s="51"/>
      <c r="J173" s="51">
        <v>7</v>
      </c>
      <c r="K173" s="37" t="s">
        <v>1241</v>
      </c>
      <c r="L173" s="50"/>
      <c r="M173" s="4" t="s">
        <v>8</v>
      </c>
      <c r="N173" s="25"/>
      <c r="O173" s="25"/>
      <c r="P173" s="25"/>
      <c r="Q173" s="25"/>
      <c r="R173" s="25">
        <v>63</v>
      </c>
      <c r="S173" s="25"/>
      <c r="T173" s="25">
        <v>16.779</v>
      </c>
      <c r="U173" s="25">
        <v>79.778999999999996</v>
      </c>
      <c r="V173" s="30">
        <v>25.655963302752291</v>
      </c>
      <c r="W173" s="30">
        <v>96.330275229357795</v>
      </c>
      <c r="X173" s="31"/>
      <c r="Y173" s="31"/>
      <c r="Z173" s="31"/>
      <c r="AA173" s="31"/>
      <c r="AB173" s="31"/>
      <c r="AC173" s="31"/>
      <c r="AD173" s="31"/>
      <c r="AE173" s="32"/>
      <c r="AF173" s="16" t="s">
        <v>543</v>
      </c>
      <c r="AG173" s="3">
        <v>2005</v>
      </c>
      <c r="AH173" s="4"/>
      <c r="AI173" s="6">
        <v>654</v>
      </c>
      <c r="AJ173" s="38">
        <v>100</v>
      </c>
      <c r="AK173" s="3"/>
      <c r="AL173" s="1" t="s">
        <v>421</v>
      </c>
      <c r="AM173" s="37"/>
      <c r="AN173" s="37"/>
      <c r="AO173" s="37"/>
      <c r="AP173" s="37"/>
      <c r="AQ173" s="37"/>
      <c r="AR173" s="37"/>
      <c r="AS173" s="37"/>
      <c r="AT173" s="37"/>
      <c r="AU173" s="37"/>
      <c r="AV173" s="37"/>
      <c r="AW173" s="37"/>
      <c r="AX173" s="37"/>
      <c r="AY173" s="37"/>
      <c r="AZ173" s="37"/>
      <c r="BA173" s="37"/>
      <c r="BB173" s="37"/>
      <c r="BC173" s="37"/>
      <c r="BD173" s="37"/>
      <c r="BE173" s="37"/>
      <c r="BF173" s="37"/>
      <c r="BG173" s="42"/>
      <c r="BH173" s="42"/>
      <c r="BI173" s="42"/>
      <c r="BJ173" s="42">
        <v>63</v>
      </c>
      <c r="BK173" s="44">
        <v>63</v>
      </c>
      <c r="BL173" s="44">
        <v>16.78</v>
      </c>
      <c r="BM173" s="44">
        <f>+BK173+BL173</f>
        <v>79.78</v>
      </c>
      <c r="BN173" s="47">
        <v>96.330275229357795</v>
      </c>
      <c r="BO173" s="47">
        <v>25.657492354740061</v>
      </c>
      <c r="BP173" s="45">
        <v>121.98776758409785</v>
      </c>
      <c r="BQ173" s="9">
        <v>654</v>
      </c>
      <c r="BR173" s="4"/>
      <c r="BS173" s="4"/>
      <c r="BT173" s="4"/>
      <c r="BU173" s="4"/>
      <c r="BV173" s="4"/>
      <c r="BW173" s="4"/>
      <c r="BX173" s="4"/>
      <c r="BY173" s="9">
        <f>+INT(BK173*faktorji!$B$9)</f>
        <v>10395</v>
      </c>
      <c r="BZ173" s="9">
        <f>+INT(BL173*faktorji!$B$4)</f>
        <v>2768</v>
      </c>
      <c r="CA173" s="4"/>
      <c r="CB173" s="4">
        <v>0</v>
      </c>
      <c r="CC173" s="4">
        <v>0</v>
      </c>
      <c r="CD173" s="4">
        <v>0</v>
      </c>
      <c r="CE173" s="4">
        <v>0</v>
      </c>
      <c r="CF173" s="4">
        <v>0</v>
      </c>
      <c r="CG173" s="4">
        <v>1</v>
      </c>
      <c r="CH173" s="4">
        <v>1</v>
      </c>
      <c r="CI173" s="9">
        <f>+BQ173*(CB173*faktorji!$B$21+'MOL_tabela rezultatov'!CF205*faktorji!$B$23+'MOL_tabela rezultatov'!CH205*faktorji!$B$26)+faktorji!$B$27*CG173</f>
        <v>28791</v>
      </c>
      <c r="CJ173" s="9">
        <f>+(BZ173*CF173*faktorji!$B$18)+(CG173*faktorji!$B$17*('MOL_tabela rezultatov'!BY205+'MOL_tabela rezultatov'!BZ205))+('MOL_tabela rezultatov'!CH205*faktorji!$B$16*'MOL_tabela rezultatov'!BY205)+('MOL_tabela rezultatov'!CB205*faktorji!$B$12*'MOL_tabela rezultatov'!BY205)</f>
        <v>528</v>
      </c>
      <c r="CK173" s="66">
        <f>+CI173/CJ173</f>
        <v>54.528409090909093</v>
      </c>
      <c r="CL173" s="3" t="str">
        <f>CONCATENATE(IF(CB173&gt;0,"kotlovnica/toplotna postaja, ",""),IF(CF173&gt;0,"razsvetljava, ",""),IF(CG173&gt;0,"energetsko upravljanje, ",""),IF(CH173&gt;0,"manjši investicijski in organizacijski ukrepi, ",""))</f>
        <v xml:space="preserve">energetsko upravljanje, manjši investicijski in organizacijski ukrepi, </v>
      </c>
      <c r="CM173" s="9">
        <f>+CJ173*0.9</f>
        <v>475.2</v>
      </c>
      <c r="CN173" s="9">
        <f>+CJ173*0.9</f>
        <v>475.2</v>
      </c>
      <c r="CO173" s="9">
        <f>+CJ173*0.9</f>
        <v>475.2</v>
      </c>
      <c r="CP173" s="69">
        <f>+IF(CI173-SUM(CM173:CO173)&lt;0,0,CI173-SUM(CM173:CO173))</f>
        <v>27365.4</v>
      </c>
      <c r="CQ173" s="9">
        <f>+(BQ173*CE173*faktorji!$B$24)+(BQ173^0.5*CC173*4*4*0.66*faktorji!$B$22)+(BQ173^0.5*CD173*4*4*0.33*faktorji!$B$25)</f>
        <v>0</v>
      </c>
      <c r="CR173" s="3" t="str">
        <f t="shared" si="97"/>
        <v/>
      </c>
      <c r="CS173" s="9">
        <f>+BQ173*('MOL_tabela rezultatov'!CH173*faktorji!$B$26)+faktorji!$B$27*CG173</f>
        <v>18981</v>
      </c>
      <c r="CT173" s="3" t="str">
        <f t="shared" si="95"/>
        <v xml:space="preserve">energetsko upravljanje, manjši investicijski in organizacijski ukrepi, </v>
      </c>
      <c r="CU173" s="9">
        <f t="shared" si="127"/>
        <v>4745.25</v>
      </c>
      <c r="CV173" s="9">
        <f t="shared" ref="CV173:CX173" si="148">+CU173</f>
        <v>4745.25</v>
      </c>
      <c r="CW173" s="9">
        <f t="shared" si="148"/>
        <v>4745.25</v>
      </c>
      <c r="CX173" s="69">
        <f t="shared" si="148"/>
        <v>4745.25</v>
      </c>
    </row>
    <row r="174" spans="1:102" s="10" customFormat="1" ht="18" hidden="1" customHeight="1">
      <c r="A174" s="54" t="s">
        <v>671</v>
      </c>
      <c r="B174" s="136" t="s">
        <v>542</v>
      </c>
      <c r="C174" s="56"/>
      <c r="D174" s="56"/>
      <c r="E174" s="51" t="s">
        <v>1176</v>
      </c>
      <c r="F174" s="51"/>
      <c r="G174" s="51">
        <v>2</v>
      </c>
      <c r="H174" s="51" t="s">
        <v>1253</v>
      </c>
      <c r="I174" s="51"/>
      <c r="J174" s="51">
        <v>2</v>
      </c>
      <c r="K174" s="37" t="s">
        <v>1242</v>
      </c>
      <c r="L174" s="50"/>
      <c r="M174" s="4" t="s">
        <v>8</v>
      </c>
      <c r="N174" s="25"/>
      <c r="O174" s="25"/>
      <c r="P174" s="25"/>
      <c r="Q174" s="25"/>
      <c r="R174" s="25"/>
      <c r="S174" s="25">
        <v>198.875</v>
      </c>
      <c r="T174" s="25">
        <v>29.433450941864955</v>
      </c>
      <c r="U174" s="25">
        <v>29.433450941864955</v>
      </c>
      <c r="V174" s="30">
        <v>31.819946964178328</v>
      </c>
      <c r="W174" s="30">
        <v>215</v>
      </c>
      <c r="X174" s="31"/>
      <c r="Y174" s="31"/>
      <c r="Z174" s="31"/>
      <c r="AA174" s="31"/>
      <c r="AB174" s="31"/>
      <c r="AC174" s="31"/>
      <c r="AD174" s="31"/>
      <c r="AE174" s="32"/>
      <c r="AF174" s="16"/>
      <c r="AG174" s="3"/>
      <c r="AH174" s="4"/>
      <c r="AI174" s="6">
        <v>925</v>
      </c>
      <c r="AJ174" s="38">
        <v>100</v>
      </c>
      <c r="AK174" s="3"/>
      <c r="AL174" s="1"/>
      <c r="AM174" s="37"/>
      <c r="AN174" s="37"/>
      <c r="AO174" s="37"/>
      <c r="AP174" s="37"/>
      <c r="AQ174" s="37"/>
      <c r="AR174" s="37"/>
      <c r="AS174" s="37"/>
      <c r="AT174" s="37"/>
      <c r="AU174" s="37"/>
      <c r="AV174" s="37"/>
      <c r="AW174" s="37"/>
      <c r="AX174" s="37"/>
      <c r="AY174" s="37"/>
      <c r="AZ174" s="37"/>
      <c r="BA174" s="37"/>
      <c r="BB174" s="37"/>
      <c r="BC174" s="37"/>
      <c r="BD174" s="37"/>
      <c r="BE174" s="37"/>
      <c r="BF174" s="37"/>
      <c r="BG174" s="42"/>
      <c r="BH174" s="42"/>
      <c r="BI174" s="42"/>
      <c r="BJ174" s="42">
        <v>182.83860000000001</v>
      </c>
      <c r="BK174" s="44">
        <v>182.83860000000001</v>
      </c>
      <c r="BL174" s="44">
        <v>44.540999999999997</v>
      </c>
      <c r="BM174" s="44">
        <f>+BK174+BL174</f>
        <v>227.37960000000001</v>
      </c>
      <c r="BN174" s="47">
        <v>207.3</v>
      </c>
      <c r="BO174" s="47">
        <v>50.5</v>
      </c>
      <c r="BP174" s="45">
        <v>257.8</v>
      </c>
      <c r="BQ174" s="9">
        <v>882</v>
      </c>
      <c r="BR174" s="4"/>
      <c r="BS174" s="4"/>
      <c r="BT174" s="4"/>
      <c r="BU174" s="4"/>
      <c r="BV174" s="4"/>
      <c r="BW174" s="4"/>
      <c r="BX174" s="4"/>
      <c r="BY174" s="9">
        <f>+INT(BK174*faktorji!$B$9)</f>
        <v>30168</v>
      </c>
      <c r="BZ174" s="9">
        <f>+INT(BL174*faktorji!$B$4)</f>
        <v>7349</v>
      </c>
      <c r="CA174" s="3" t="s">
        <v>1300</v>
      </c>
      <c r="CB174" s="4">
        <v>1</v>
      </c>
      <c r="CC174" s="4">
        <v>1</v>
      </c>
      <c r="CD174" s="4">
        <v>1</v>
      </c>
      <c r="CE174" s="4">
        <v>1</v>
      </c>
      <c r="CF174" s="4">
        <v>1</v>
      </c>
      <c r="CG174" s="4">
        <v>1</v>
      </c>
      <c r="CH174" s="4">
        <v>1</v>
      </c>
      <c r="CI174" s="9">
        <f>+BQ174*(CB174*faktorji!$B$21+'MOL_tabela rezultatov'!CF247*faktorji!$B$23+'MOL_tabela rezultatov'!CH247*faktorji!$B$26)+faktorji!$B$27*CG174</f>
        <v>32553</v>
      </c>
      <c r="CJ174" s="9">
        <f>+(BZ174*CF174*faktorji!$B$18)+(CG174*faktorji!$B$17*('MOL_tabela rezultatov'!BY247+'MOL_tabela rezultatov'!BZ247))+('MOL_tabela rezultatov'!CH247*faktorji!$B$16*'MOL_tabela rezultatov'!BY247)+('MOL_tabela rezultatov'!CB247*faktorji!$B$12*'MOL_tabela rezultatov'!BY247)</f>
        <v>5264.65</v>
      </c>
      <c r="CK174" s="66">
        <f>+CI174/CJ174</f>
        <v>6.1833170296221027</v>
      </c>
      <c r="CL174" s="3" t="str">
        <f>CONCATENATE(IF(CB174&gt;0,"kotlovnica/toplotna postaja, ",""),IF(CF174&gt;0,"razsvetljava, ",""),IF(CG174&gt;0,"energetsko upravljanje, ",""),IF(CH174&gt;0,"manjši investicijski in organizacijski ukrepi, ",""))</f>
        <v xml:space="preserve">kotlovnica/toplotna postaja, razsvetljava, energetsko upravljanje, manjši investicijski in organizacijski ukrepi, </v>
      </c>
      <c r="CM174" s="9">
        <f>+CJ174*0.9</f>
        <v>4738.1849999999995</v>
      </c>
      <c r="CN174" s="9">
        <f>+CJ174*0.9</f>
        <v>4738.1849999999995</v>
      </c>
      <c r="CO174" s="9">
        <f>+CJ174*0.9</f>
        <v>4738.1849999999995</v>
      </c>
      <c r="CP174" s="69">
        <f>+IF(CI174-SUM(CM174:CO174)&lt;0,0,CI174-SUM(CM174:CO174))</f>
        <v>18338.445</v>
      </c>
      <c r="CQ174" s="9">
        <f>+(BQ174*CE174*faktorji!$B$24)+(BQ174^0.5*CC174*4*4*0.66*faktorji!$B$22)+(BQ174^0.5*CD174*4*4*0.33*faktorji!$B$25)</f>
        <v>78795.119920412224</v>
      </c>
      <c r="CR174" s="3" t="str">
        <f t="shared" si="97"/>
        <v xml:space="preserve">izolacija ovoja, stavbno pohištvo, izolacija podstrešja, </v>
      </c>
      <c r="CS174" s="9">
        <f>+BQ174*('MOL_tabela rezultatov'!CH174*faktorji!$B$26)+faktorji!$B$27*CG174</f>
        <v>19323</v>
      </c>
      <c r="CT174" s="3" t="str">
        <f t="shared" si="95"/>
        <v xml:space="preserve">energetsko upravljanje, manjši investicijski in organizacijski ukrepi, </v>
      </c>
      <c r="CU174" s="9">
        <f t="shared" si="127"/>
        <v>4830.75</v>
      </c>
      <c r="CV174" s="9">
        <f t="shared" ref="CV174:CX174" si="149">+CU174</f>
        <v>4830.75</v>
      </c>
      <c r="CW174" s="9">
        <f t="shared" si="149"/>
        <v>4830.75</v>
      </c>
      <c r="CX174" s="69">
        <f t="shared" si="149"/>
        <v>4830.75</v>
      </c>
    </row>
    <row r="175" spans="1:102" s="10" customFormat="1" ht="18" hidden="1" customHeight="1">
      <c r="A175" s="53" t="s">
        <v>812</v>
      </c>
      <c r="B175" s="2" t="s">
        <v>813</v>
      </c>
      <c r="C175" s="57"/>
      <c r="D175" s="57"/>
      <c r="E175" s="51" t="s">
        <v>1176</v>
      </c>
      <c r="F175" s="51"/>
      <c r="G175" s="51" t="s">
        <v>1366</v>
      </c>
      <c r="H175" s="51" t="s">
        <v>1255</v>
      </c>
      <c r="I175" s="78" t="s">
        <v>1334</v>
      </c>
      <c r="J175" s="51">
        <v>1</v>
      </c>
      <c r="K175" s="37" t="s">
        <v>1243</v>
      </c>
      <c r="L175" s="50">
        <v>2014</v>
      </c>
      <c r="M175" s="112" t="s">
        <v>1410</v>
      </c>
      <c r="N175" s="29"/>
      <c r="O175" s="29">
        <v>196</v>
      </c>
      <c r="P175" s="29">
        <v>238</v>
      </c>
      <c r="Q175" s="29"/>
      <c r="R175" s="29"/>
      <c r="S175" s="29"/>
      <c r="T175" s="25">
        <v>82.36</v>
      </c>
      <c r="U175" s="25">
        <v>516.36</v>
      </c>
      <c r="V175" s="30">
        <v>50.74553296364757</v>
      </c>
      <c r="W175" s="30">
        <v>267.40603820086261</v>
      </c>
      <c r="X175" s="31"/>
      <c r="Y175" s="31"/>
      <c r="Z175" s="31"/>
      <c r="AA175" s="31"/>
      <c r="AB175" s="31"/>
      <c r="AC175" s="31"/>
      <c r="AD175" s="31"/>
      <c r="AE175" s="32"/>
      <c r="AF175" s="16" t="s">
        <v>814</v>
      </c>
      <c r="AG175" s="3">
        <v>1996.2003999999999</v>
      </c>
      <c r="AH175" s="4"/>
      <c r="AI175" s="6">
        <v>1623</v>
      </c>
      <c r="AJ175" s="38">
        <v>100</v>
      </c>
      <c r="AK175" s="3"/>
      <c r="AL175" s="1" t="s">
        <v>815</v>
      </c>
      <c r="AM175" s="40"/>
      <c r="AN175" s="40"/>
      <c r="AO175" s="40"/>
      <c r="AP175" s="40"/>
      <c r="AQ175" s="40"/>
      <c r="AR175" s="40"/>
      <c r="AS175" s="40"/>
      <c r="AT175" s="40"/>
      <c r="AU175" s="40"/>
      <c r="AV175" s="40"/>
      <c r="AW175" s="40"/>
      <c r="AX175" s="40"/>
      <c r="AY175" s="40"/>
      <c r="AZ175" s="40"/>
      <c r="BA175" s="40"/>
      <c r="BB175" s="40"/>
      <c r="BC175" s="40">
        <v>90.8</v>
      </c>
      <c r="BD175" s="40">
        <v>96.6</v>
      </c>
      <c r="BE175" s="40">
        <v>85.7</v>
      </c>
      <c r="BF175" s="40">
        <v>77.3</v>
      </c>
      <c r="BG175" s="42"/>
      <c r="BH175" s="42">
        <v>198.52</v>
      </c>
      <c r="BI175" s="42"/>
      <c r="BJ175" s="42"/>
      <c r="BK175" s="107">
        <v>538.79999999999995</v>
      </c>
      <c r="BL175" s="107">
        <v>91</v>
      </c>
      <c r="BM175" s="107">
        <f>+BK175+BL175</f>
        <v>629.79999999999995</v>
      </c>
      <c r="BN175" s="108">
        <f>+BK175*1000/BQ175</f>
        <v>440.55600981193788</v>
      </c>
      <c r="BO175" s="108">
        <f>+BL175*1000/BQ175</f>
        <v>74.407195421095665</v>
      </c>
      <c r="BP175" s="109">
        <f>+BO175+BN175</f>
        <v>514.96320523303359</v>
      </c>
      <c r="BQ175" s="106">
        <v>1223</v>
      </c>
      <c r="BR175" s="112" t="s">
        <v>981</v>
      </c>
      <c r="BS175" s="112" t="s">
        <v>1431</v>
      </c>
      <c r="BT175" s="110" t="s">
        <v>872</v>
      </c>
      <c r="BU175" s="4"/>
      <c r="BV175" s="4" t="s">
        <v>921</v>
      </c>
      <c r="BW175" s="4" t="s">
        <v>982</v>
      </c>
      <c r="BX175" s="4"/>
      <c r="BY175" s="106">
        <v>32670</v>
      </c>
      <c r="BZ175" s="106">
        <v>11260</v>
      </c>
      <c r="CA175" s="114" t="s">
        <v>1432</v>
      </c>
      <c r="CB175" s="4">
        <v>0</v>
      </c>
      <c r="CC175" s="4">
        <v>0</v>
      </c>
      <c r="CD175" s="4">
        <v>0</v>
      </c>
      <c r="CE175" s="4">
        <v>0</v>
      </c>
      <c r="CF175" s="4">
        <v>0</v>
      </c>
      <c r="CG175" s="4">
        <v>0</v>
      </c>
      <c r="CH175" s="4">
        <v>0</v>
      </c>
      <c r="CI175" s="106">
        <v>76000</v>
      </c>
      <c r="CJ175" s="106">
        <v>9300</v>
      </c>
      <c r="CK175" s="115">
        <f>+CI175/CJ175</f>
        <v>8.172043010752688</v>
      </c>
      <c r="CL175" s="3" t="str">
        <f>CONCATENATE(IF(CB175&gt;0,"kotlovnica/toplotna postaja, ",""),IF(CF175&gt;0,"razsvetljava, ",""),IF(CG175&gt;0,"energetsko upravljanje, ",""),IF(CH175&gt;0,"manjši investicijski in organizacijski ukrepi, ",""))</f>
        <v/>
      </c>
      <c r="CM175" s="9">
        <f>+CJ175*0.9</f>
        <v>8370</v>
      </c>
      <c r="CN175" s="9">
        <f>+CJ175*0.9</f>
        <v>8370</v>
      </c>
      <c r="CO175" s="9">
        <f>+CJ175*0.9</f>
        <v>8370</v>
      </c>
      <c r="CP175" s="69">
        <f>+IF(CI175-SUM(CM175:CO175)&lt;0,0,CI175-SUM(CM175:CO175))</f>
        <v>50890</v>
      </c>
      <c r="CQ175" s="9">
        <f>+(BQ175*CE175*faktorji!$B$24)+(BQ175^0.5*CC175*4*4*0.66*faktorji!$B$22)+(BQ175^0.5*CD175*4*4*0.33*faktorji!$B$25)</f>
        <v>0</v>
      </c>
      <c r="CR175" s="3" t="str">
        <f t="shared" si="97"/>
        <v/>
      </c>
      <c r="CS175" s="9">
        <f>+BQ175*('MOL_tabela rezultatov'!CH175*faktorji!$B$26)+faktorji!$B$27*CG175</f>
        <v>0</v>
      </c>
      <c r="CT175" s="3" t="str">
        <f t="shared" si="95"/>
        <v/>
      </c>
      <c r="CU175" s="9">
        <f t="shared" si="127"/>
        <v>0</v>
      </c>
      <c r="CV175" s="9">
        <f t="shared" ref="CV175:CX175" si="150">+CU175</f>
        <v>0</v>
      </c>
      <c r="CW175" s="9">
        <f t="shared" si="150"/>
        <v>0</v>
      </c>
      <c r="CX175" s="69">
        <f t="shared" si="150"/>
        <v>0</v>
      </c>
    </row>
    <row r="176" spans="1:102" s="10" customFormat="1" ht="18" hidden="1" customHeight="1">
      <c r="A176" s="53" t="s">
        <v>524</v>
      </c>
      <c r="B176" s="2" t="s">
        <v>525</v>
      </c>
      <c r="C176" s="57"/>
      <c r="D176" s="57"/>
      <c r="E176" s="51" t="s">
        <v>1175</v>
      </c>
      <c r="F176" s="51"/>
      <c r="G176" s="51">
        <v>3</v>
      </c>
      <c r="H176" s="51"/>
      <c r="I176" s="51"/>
      <c r="J176" s="51">
        <v>7</v>
      </c>
      <c r="K176" s="37" t="s">
        <v>1243</v>
      </c>
      <c r="L176" s="50"/>
      <c r="M176" s="4" t="s">
        <v>5</v>
      </c>
      <c r="N176" s="28">
        <v>482</v>
      </c>
      <c r="O176" s="25"/>
      <c r="P176" s="25"/>
      <c r="Q176" s="25"/>
      <c r="R176" s="25"/>
      <c r="S176" s="25"/>
      <c r="T176" s="25">
        <v>143.02799999999999</v>
      </c>
      <c r="U176" s="25">
        <v>625.02800000000002</v>
      </c>
      <c r="V176" s="30">
        <v>26.080962800875273</v>
      </c>
      <c r="W176" s="30">
        <v>87.892049598832969</v>
      </c>
      <c r="X176" s="31"/>
      <c r="Y176" s="31"/>
      <c r="Z176" s="31"/>
      <c r="AA176" s="31"/>
      <c r="AB176" s="31"/>
      <c r="AC176" s="31"/>
      <c r="AD176" s="31"/>
      <c r="AE176" s="32"/>
      <c r="AF176" s="16" t="s">
        <v>526</v>
      </c>
      <c r="AG176" s="3" t="s">
        <v>472</v>
      </c>
      <c r="AH176" s="4"/>
      <c r="AI176" s="6">
        <v>5484</v>
      </c>
      <c r="AJ176" s="38">
        <v>100</v>
      </c>
      <c r="AK176" s="3"/>
      <c r="AL176" s="1" t="s">
        <v>527</v>
      </c>
      <c r="AM176" s="37">
        <v>509.27</v>
      </c>
      <c r="AN176" s="37">
        <v>504.12</v>
      </c>
      <c r="AO176" s="37">
        <v>612.13</v>
      </c>
      <c r="AP176" s="37">
        <v>688.65</v>
      </c>
      <c r="AQ176" s="37"/>
      <c r="AR176" s="37"/>
      <c r="AS176" s="37"/>
      <c r="AT176" s="37"/>
      <c r="AU176" s="37"/>
      <c r="AV176" s="37"/>
      <c r="AW176" s="37"/>
      <c r="AX176" s="37"/>
      <c r="AY176" s="37"/>
      <c r="AZ176" s="37"/>
      <c r="BA176" s="37"/>
      <c r="BB176" s="37"/>
      <c r="BC176" s="37">
        <v>116.5</v>
      </c>
      <c r="BD176" s="37">
        <v>148.19999999999999</v>
      </c>
      <c r="BE176" s="37">
        <v>138.6</v>
      </c>
      <c r="BF176" s="37">
        <v>136</v>
      </c>
      <c r="BG176" s="42">
        <v>578.54250000000002</v>
      </c>
      <c r="BH176" s="42"/>
      <c r="BI176" s="42"/>
      <c r="BJ176" s="42"/>
      <c r="BK176" s="44">
        <v>578.54250000000002</v>
      </c>
      <c r="BL176" s="44">
        <v>134.82499999999999</v>
      </c>
      <c r="BM176" s="44">
        <f>+BK176+BL176</f>
        <v>713.36750000000006</v>
      </c>
      <c r="BN176" s="47">
        <v>105.49644420131291</v>
      </c>
      <c r="BO176" s="47">
        <v>24.585156819839533</v>
      </c>
      <c r="BP176" s="45">
        <v>130.08160102115247</v>
      </c>
      <c r="BQ176" s="9">
        <v>5484</v>
      </c>
      <c r="BR176" s="4"/>
      <c r="BS176" s="4">
        <v>2012</v>
      </c>
      <c r="BT176" s="4" t="s">
        <v>872</v>
      </c>
      <c r="BU176" s="4"/>
      <c r="BV176" s="4" t="s">
        <v>1043</v>
      </c>
      <c r="BW176" s="4" t="s">
        <v>1044</v>
      </c>
      <c r="BX176" s="4"/>
      <c r="BY176" s="9">
        <f>+INT(BK176*faktorji!$B$3)</f>
        <v>37605</v>
      </c>
      <c r="BZ176" s="9">
        <f>+INT(BL176*faktorji!$B$4)</f>
        <v>22246</v>
      </c>
      <c r="CA176" s="4"/>
      <c r="CB176" s="4">
        <v>0</v>
      </c>
      <c r="CC176" s="4">
        <v>1</v>
      </c>
      <c r="CD176" s="4">
        <v>1</v>
      </c>
      <c r="CE176" s="4">
        <v>1</v>
      </c>
      <c r="CF176" s="4">
        <v>1</v>
      </c>
      <c r="CG176" s="4">
        <v>1</v>
      </c>
      <c r="CH176" s="4">
        <v>1</v>
      </c>
      <c r="CI176" s="9">
        <f>+BQ176*(CB176*faktorji!$B$21+'MOL_tabela rezultatov'!CF200*faktorji!$B$23+'MOL_tabela rezultatov'!CH200*faktorji!$B$26)+faktorji!$B$27*CG176</f>
        <v>18000</v>
      </c>
      <c r="CJ176" s="9">
        <f>+(BZ176*CF176*faktorji!$B$18)+(CG176*faktorji!$B$17*('MOL_tabela rezultatov'!BY200+'MOL_tabela rezultatov'!BZ200))+('MOL_tabela rezultatov'!CH200*faktorji!$B$16*'MOL_tabela rezultatov'!BY200)+('MOL_tabela rezultatov'!CB200*faktorji!$B$12*'MOL_tabela rezultatov'!BY200)</f>
        <v>4989.1000000000004</v>
      </c>
      <c r="CK176" s="66">
        <f>+CI176/CJ176</f>
        <v>3.6078651460183195</v>
      </c>
      <c r="CL176" s="3" t="str">
        <f>CONCATENATE(IF(CB176&gt;0,"kotlovnica/toplotna postaja, ",""),IF(CF176&gt;0,"razsvetljava, ",""),IF(CG176&gt;0,"energetsko upravljanje, ",""),IF(CH176&gt;0,"manjši investicijski in organizacijski ukrepi, ",""))</f>
        <v xml:space="preserve">razsvetljava, energetsko upravljanje, manjši investicijski in organizacijski ukrepi, </v>
      </c>
      <c r="CM176" s="9">
        <f>+CJ176*0.9</f>
        <v>4490.1900000000005</v>
      </c>
      <c r="CN176" s="9">
        <f>+CJ176*0.9</f>
        <v>4490.1900000000005</v>
      </c>
      <c r="CO176" s="9">
        <f>+CJ176*0.9</f>
        <v>4490.1900000000005</v>
      </c>
      <c r="CP176" s="69">
        <f>+IF(CI176-SUM(CM176:CO176)&lt;0,0,CI176-SUM(CM176:CO176))</f>
        <v>4529.4299999999985</v>
      </c>
      <c r="CQ176" s="9">
        <f>+(BQ176*CE176*faktorji!$B$24)+(BQ176^0.5*CC176*4*4*0.66*faktorji!$B$22)+(BQ176^0.5*CD176*4*4*0.33*faktorji!$B$25)</f>
        <v>262172.06748470559</v>
      </c>
      <c r="CR176" s="3" t="str">
        <f t="shared" si="97"/>
        <v xml:space="preserve">izolacija ovoja, stavbno pohištvo, izolacija podstrešja, </v>
      </c>
      <c r="CS176" s="9">
        <f>+BQ176*('MOL_tabela rezultatov'!CH176*faktorji!$B$26)+faktorji!$B$27*CG176</f>
        <v>26226</v>
      </c>
      <c r="CT176" s="3" t="str">
        <f t="shared" si="95"/>
        <v xml:space="preserve">energetsko upravljanje, manjši investicijski in organizacijski ukrepi, </v>
      </c>
      <c r="CU176" s="9">
        <f t="shared" si="127"/>
        <v>6556.5</v>
      </c>
      <c r="CV176" s="9">
        <f t="shared" ref="CV176:CX176" si="151">+CU176</f>
        <v>6556.5</v>
      </c>
      <c r="CW176" s="9">
        <f t="shared" si="151"/>
        <v>6556.5</v>
      </c>
      <c r="CX176" s="69">
        <f t="shared" si="151"/>
        <v>6556.5</v>
      </c>
    </row>
    <row r="177" spans="1:102" s="10" customFormat="1" ht="18" hidden="1" customHeight="1">
      <c r="A177" s="53" t="s">
        <v>652</v>
      </c>
      <c r="B177" s="2" t="s">
        <v>653</v>
      </c>
      <c r="C177" s="57"/>
      <c r="D177" s="57"/>
      <c r="E177" s="51" t="s">
        <v>1176</v>
      </c>
      <c r="F177" s="51"/>
      <c r="G177" s="51">
        <v>3</v>
      </c>
      <c r="H177" s="51"/>
      <c r="I177" s="51"/>
      <c r="J177" s="51">
        <v>7</v>
      </c>
      <c r="K177" s="37" t="s">
        <v>1243</v>
      </c>
      <c r="L177" s="50"/>
      <c r="M177" s="4" t="s">
        <v>6</v>
      </c>
      <c r="N177" s="25"/>
      <c r="O177" s="25">
        <v>193</v>
      </c>
      <c r="P177" s="25"/>
      <c r="Q177" s="25"/>
      <c r="R177" s="25"/>
      <c r="S177" s="25"/>
      <c r="T177" s="27">
        <v>31.828666666666667</v>
      </c>
      <c r="U177" s="25">
        <v>224.82866666666666</v>
      </c>
      <c r="V177" s="30">
        <v>36.114220877458393</v>
      </c>
      <c r="W177" s="30">
        <v>218.98638426626323</v>
      </c>
      <c r="X177" s="31"/>
      <c r="Y177" s="31"/>
      <c r="Z177" s="31"/>
      <c r="AA177" s="31"/>
      <c r="AB177" s="31"/>
      <c r="AC177" s="31"/>
      <c r="AD177" s="31"/>
      <c r="AE177" s="32"/>
      <c r="AF177" s="16" t="s">
        <v>654</v>
      </c>
      <c r="AG177" s="3" t="s">
        <v>472</v>
      </c>
      <c r="AH177" s="4"/>
      <c r="AI177" s="12">
        <v>881.33333333333337</v>
      </c>
      <c r="AJ177" s="38">
        <v>100</v>
      </c>
      <c r="AK177" s="3"/>
      <c r="AL177" s="1" t="s">
        <v>421</v>
      </c>
      <c r="AM177" s="37"/>
      <c r="AN177" s="37"/>
      <c r="AO177" s="37"/>
      <c r="AP177" s="37"/>
      <c r="AQ177" s="37">
        <f>(1238*9.5)/1000</f>
        <v>11.760999999999999</v>
      </c>
      <c r="AR177" s="37">
        <f>(1284*9.5)/1000</f>
        <v>12.198</v>
      </c>
      <c r="AS177" s="37">
        <f>(1243*9.5)/1000</f>
        <v>11.8085</v>
      </c>
      <c r="AT177" s="37">
        <f>(1213*9.5)/1000</f>
        <v>11.5235</v>
      </c>
      <c r="AU177" s="37"/>
      <c r="AV177" s="37"/>
      <c r="AW177" s="37"/>
      <c r="AX177" s="37"/>
      <c r="AY177" s="37"/>
      <c r="AZ177" s="37"/>
      <c r="BA177" s="37"/>
      <c r="BB177" s="37"/>
      <c r="BC177" s="37">
        <v>1.1000000000000001</v>
      </c>
      <c r="BD177" s="37">
        <v>1.2</v>
      </c>
      <c r="BE177" s="37">
        <v>1.2</v>
      </c>
      <c r="BF177" s="37">
        <v>1.3</v>
      </c>
      <c r="BG177" s="42"/>
      <c r="BH177" s="42">
        <v>11.822749999999999</v>
      </c>
      <c r="BI177" s="43"/>
      <c r="BJ177" s="43"/>
      <c r="BK177" s="44">
        <v>11.822749999999999</v>
      </c>
      <c r="BL177" s="44">
        <v>1.2</v>
      </c>
      <c r="BM177" s="44">
        <f>+BK177+BL177</f>
        <v>13.022749999999998</v>
      </c>
      <c r="BN177" s="47">
        <v>173.8639705882353</v>
      </c>
      <c r="BO177" s="47">
        <v>17.647058823529413</v>
      </c>
      <c r="BP177" s="45">
        <v>191.51102941176467</v>
      </c>
      <c r="BQ177" s="9">
        <v>68</v>
      </c>
      <c r="BR177" s="4">
        <v>20</v>
      </c>
      <c r="BS177" s="4">
        <v>1990</v>
      </c>
      <c r="BT177" s="4"/>
      <c r="BU177" s="4"/>
      <c r="BV177" s="4"/>
      <c r="BW177" s="4"/>
      <c r="BX177" s="4" t="s">
        <v>891</v>
      </c>
      <c r="BY177" s="9">
        <f>+INT(BK177*faktorji!$B$5)</f>
        <v>1123</v>
      </c>
      <c r="BZ177" s="9">
        <f>+INT(BL177*faktorji!$B$4)</f>
        <v>198</v>
      </c>
      <c r="CA177" s="4"/>
      <c r="CB177" s="4">
        <v>0</v>
      </c>
      <c r="CC177" s="4">
        <v>0</v>
      </c>
      <c r="CD177" s="4">
        <v>0</v>
      </c>
      <c r="CE177" s="4">
        <v>0</v>
      </c>
      <c r="CF177" s="4">
        <v>1</v>
      </c>
      <c r="CG177" s="4">
        <v>1</v>
      </c>
      <c r="CH177" s="4">
        <v>1</v>
      </c>
      <c r="CI177" s="9">
        <f>+BQ177*(CB177*faktorji!$B$21+'MOL_tabela rezultatov'!CF239*faktorji!$B$23+'MOL_tabela rezultatov'!CH239*faktorji!$B$26)+faktorji!$B$27*CG177</f>
        <v>19122</v>
      </c>
      <c r="CJ177" s="9">
        <f>+(BZ177*CF177*faktorji!$B$18)+(CG177*faktorji!$B$17*('MOL_tabela rezultatov'!BY239+'MOL_tabela rezultatov'!BZ239))+('MOL_tabela rezultatov'!CH239*faktorji!$B$16*'MOL_tabela rezultatov'!BY239)+('MOL_tabela rezultatov'!CB239*faktorji!$B$12*'MOL_tabela rezultatov'!BY239)</f>
        <v>993.80000000000007</v>
      </c>
      <c r="CK177" s="66">
        <f>+CI177/CJ177</f>
        <v>19.241296035419602</v>
      </c>
      <c r="CL177" s="3" t="str">
        <f>CONCATENATE(IF(CB177&gt;0,"kotlovnica/toplotna postaja, ",""),IF(CF177&gt;0,"razsvetljava, ",""),IF(CG177&gt;0,"energetsko upravljanje, ",""),IF(CH177&gt;0,"manjši investicijski in organizacijski ukrepi, ",""))</f>
        <v xml:space="preserve">razsvetljava, energetsko upravljanje, manjši investicijski in organizacijski ukrepi, </v>
      </c>
      <c r="CM177" s="9">
        <f>+CJ177*0.9</f>
        <v>894.42000000000007</v>
      </c>
      <c r="CN177" s="9">
        <f>+CJ177*0.9</f>
        <v>894.42000000000007</v>
      </c>
      <c r="CO177" s="9">
        <f>+CJ177*0.9</f>
        <v>894.42000000000007</v>
      </c>
      <c r="CP177" s="69">
        <f>+IF(CI177-SUM(CM177:CO177)&lt;0,0,CI177-SUM(CM177:CO177))</f>
        <v>16438.739999999998</v>
      </c>
      <c r="CQ177" s="9">
        <f>+(BQ177*CE177*faktorji!$B$24)+(BQ177^0.5*CC177*4*4*0.66*faktorji!$B$22)+(BQ177^0.5*CD177*4*4*0.33*faktorji!$B$25)</f>
        <v>0</v>
      </c>
      <c r="CR177" s="3" t="str">
        <f t="shared" si="97"/>
        <v/>
      </c>
      <c r="CS177" s="9">
        <f>+BQ177*('MOL_tabela rezultatov'!CH177*faktorji!$B$26)+faktorji!$B$27*CG177</f>
        <v>18102</v>
      </c>
      <c r="CT177" s="3" t="str">
        <f t="shared" si="95"/>
        <v xml:space="preserve">energetsko upravljanje, manjši investicijski in organizacijski ukrepi, </v>
      </c>
      <c r="CU177" s="9">
        <f t="shared" si="127"/>
        <v>4525.5</v>
      </c>
      <c r="CV177" s="9">
        <f t="shared" ref="CV177:CX177" si="152">+CU177</f>
        <v>4525.5</v>
      </c>
      <c r="CW177" s="9">
        <f t="shared" si="152"/>
        <v>4525.5</v>
      </c>
      <c r="CX177" s="69">
        <f t="shared" si="152"/>
        <v>4525.5</v>
      </c>
    </row>
    <row r="178" spans="1:102" s="10" customFormat="1" ht="18" customHeight="1">
      <c r="A178" s="118" t="s">
        <v>244</v>
      </c>
      <c r="B178" s="147" t="s">
        <v>245</v>
      </c>
      <c r="C178" s="56"/>
      <c r="D178" s="56"/>
      <c r="E178" s="51" t="s">
        <v>1173</v>
      </c>
      <c r="F178" s="51"/>
      <c r="G178" s="51">
        <v>2</v>
      </c>
      <c r="H178" s="51"/>
      <c r="I178" s="51"/>
      <c r="J178" s="51">
        <v>3</v>
      </c>
      <c r="K178" s="37" t="s">
        <v>1243</v>
      </c>
      <c r="L178" s="50"/>
      <c r="M178" s="4" t="s">
        <v>5</v>
      </c>
      <c r="N178" s="25">
        <v>416.63</v>
      </c>
      <c r="O178" s="25"/>
      <c r="P178" s="25"/>
      <c r="Q178" s="25"/>
      <c r="R178" s="25"/>
      <c r="S178" s="25"/>
      <c r="T178" s="25">
        <v>79.375250486406415</v>
      </c>
      <c r="U178" s="25">
        <v>496.0052504864064</v>
      </c>
      <c r="V178" s="30">
        <v>26.45841682880214</v>
      </c>
      <c r="W178" s="30">
        <v>138.87666666666667</v>
      </c>
      <c r="X178" s="31"/>
      <c r="Y178" s="31"/>
      <c r="Z178" s="31"/>
      <c r="AA178" s="31"/>
      <c r="AB178" s="31"/>
      <c r="AC178" s="31">
        <v>266</v>
      </c>
      <c r="AD178" s="31"/>
      <c r="AE178" s="32"/>
      <c r="AF178" s="1"/>
      <c r="AG178" s="4"/>
      <c r="AH178" s="4"/>
      <c r="AI178" s="6">
        <v>3000</v>
      </c>
      <c r="AJ178" s="38"/>
      <c r="AK178" s="3"/>
      <c r="AL178" s="1"/>
      <c r="AM178" s="37">
        <v>764.2</v>
      </c>
      <c r="AN178" s="37">
        <v>845.7</v>
      </c>
      <c r="AO178" s="37">
        <v>749.8</v>
      </c>
      <c r="AP178" s="37">
        <v>830.2</v>
      </c>
      <c r="AQ178" s="37"/>
      <c r="AR178" s="37"/>
      <c r="AS178" s="37"/>
      <c r="AT178" s="37"/>
      <c r="AU178" s="37"/>
      <c r="AV178" s="37"/>
      <c r="AW178" s="37"/>
      <c r="AX178" s="37"/>
      <c r="AY178" s="37"/>
      <c r="AZ178" s="37"/>
      <c r="BA178" s="37"/>
      <c r="BB178" s="37"/>
      <c r="BC178" s="37">
        <v>286.39999999999998</v>
      </c>
      <c r="BD178" s="37">
        <v>305.5</v>
      </c>
      <c r="BE178" s="37">
        <v>263.39999999999998</v>
      </c>
      <c r="BF178" s="37">
        <v>256.2</v>
      </c>
      <c r="BG178" s="42">
        <v>797.47499999999991</v>
      </c>
      <c r="BH178" s="42"/>
      <c r="BI178" s="42"/>
      <c r="BJ178" s="42"/>
      <c r="BK178" s="44">
        <v>797.47499999999991</v>
      </c>
      <c r="BL178" s="44">
        <v>277.875</v>
      </c>
      <c r="BM178" s="44">
        <f>+BK178+BL178</f>
        <v>1075.3499999999999</v>
      </c>
      <c r="BN178" s="47">
        <v>216.23508676789584</v>
      </c>
      <c r="BO178" s="47">
        <v>75.345715835140993</v>
      </c>
      <c r="BP178" s="45">
        <v>291.58080260303689</v>
      </c>
      <c r="BQ178" s="9">
        <v>3688</v>
      </c>
      <c r="BR178" s="4" t="s">
        <v>1149</v>
      </c>
      <c r="BS178" s="4"/>
      <c r="BT178" s="4" t="s">
        <v>1150</v>
      </c>
      <c r="BU178" s="4" t="s">
        <v>1135</v>
      </c>
      <c r="BV178" s="4"/>
      <c r="BW178" s="4" t="s">
        <v>1151</v>
      </c>
      <c r="BX178" s="4"/>
      <c r="BY178" s="9">
        <f>+INT(BK178*faktorji!$B$3)</f>
        <v>51835</v>
      </c>
      <c r="BZ178" s="9">
        <f>+INT(BL178*faktorji!$B$4)</f>
        <v>45849</v>
      </c>
      <c r="CA178" s="72" t="s">
        <v>1315</v>
      </c>
      <c r="CB178" s="4">
        <v>1</v>
      </c>
      <c r="CC178" s="4">
        <v>0</v>
      </c>
      <c r="CD178" s="4">
        <v>0</v>
      </c>
      <c r="CE178" s="4">
        <v>0</v>
      </c>
      <c r="CF178" s="4">
        <v>1</v>
      </c>
      <c r="CG178" s="4">
        <v>1</v>
      </c>
      <c r="CH178" s="4">
        <v>1</v>
      </c>
      <c r="CI178" s="9">
        <f>+BQ178*(CB178*faktorji!$B$21+'MOL_tabela rezultatov'!CF87*faktorji!$B$23+'MOL_tabela rezultatov'!CH87*faktorji!$B$26)+faktorji!$B$27*CG178</f>
        <v>134172</v>
      </c>
      <c r="CJ178" s="9">
        <f>+(BZ178*CF178*faktorji!$B$18)+(CG178*faktorji!$B$17*('MOL_tabela rezultatov'!BY87+'MOL_tabela rezultatov'!BZ87))+('MOL_tabela rezultatov'!CH87*faktorji!$B$16*'MOL_tabela rezultatov'!BY87)+('MOL_tabela rezultatov'!CB87*faktorji!$B$12*'MOL_tabela rezultatov'!BY87)</f>
        <v>7964.25</v>
      </c>
      <c r="CK178" s="66">
        <f>+CI178/CJ178</f>
        <v>16.846784066296262</v>
      </c>
      <c r="CL178" s="3" t="str">
        <f>CONCATENATE(IF(CB178&gt;0,"kotlovnica/toplotna postaja, ",""),IF(CF178&gt;0,"razsvetljava, ",""),IF(CG178&gt;0,"energetsko upravljanje, ",""),IF(CH178&gt;0,"manjši investicijski in organizacijski ukrepi, ",""))</f>
        <v xml:space="preserve">kotlovnica/toplotna postaja, razsvetljava, energetsko upravljanje, manjši investicijski in organizacijski ukrepi, </v>
      </c>
      <c r="CM178" s="9">
        <f>+CJ178*0.9</f>
        <v>7167.8249999999998</v>
      </c>
      <c r="CN178" s="9">
        <f>+CJ178*0.9</f>
        <v>7167.8249999999998</v>
      </c>
      <c r="CO178" s="9">
        <f>+CJ178*0.9</f>
        <v>7167.8249999999998</v>
      </c>
      <c r="CP178" s="69">
        <f>+IF(CI178-SUM(CM178:CO178)&lt;0,0,CI178-SUM(CM178:CO178))</f>
        <v>112668.52499999999</v>
      </c>
      <c r="CQ178" s="9">
        <f>+(BQ178*CE178*faktorji!$B$24)+(BQ178^0.5*CC178*4*4*0.66*faktorji!$B$22)+(BQ178^0.5*CD178*4*4*0.33*faktorji!$B$25)</f>
        <v>0</v>
      </c>
      <c r="CR178" s="3" t="str">
        <f t="shared" si="97"/>
        <v/>
      </c>
      <c r="CS178" s="9">
        <f>+BQ178*('MOL_tabela rezultatov'!CH178*faktorji!$B$26)+faktorji!$B$27*CG178</f>
        <v>23532</v>
      </c>
      <c r="CT178" s="3" t="str">
        <f t="shared" si="95"/>
        <v xml:space="preserve">energetsko upravljanje, manjši investicijski in organizacijski ukrepi, </v>
      </c>
      <c r="CU178" s="9">
        <f t="shared" si="127"/>
        <v>5883</v>
      </c>
      <c r="CV178" s="9">
        <f t="shared" ref="CV178:CX178" si="153">+CU178</f>
        <v>5883</v>
      </c>
      <c r="CW178" s="9">
        <f t="shared" si="153"/>
        <v>5883</v>
      </c>
      <c r="CX178" s="69">
        <f t="shared" si="153"/>
        <v>5883</v>
      </c>
    </row>
    <row r="179" spans="1:102" s="10" customFormat="1" ht="18" customHeight="1">
      <c r="A179" s="117" t="s">
        <v>1435</v>
      </c>
      <c r="B179" s="146" t="s">
        <v>148</v>
      </c>
      <c r="C179" s="57"/>
      <c r="D179" s="57"/>
      <c r="E179" s="51" t="s">
        <v>1173</v>
      </c>
      <c r="F179" s="51"/>
      <c r="G179" s="51">
        <v>2</v>
      </c>
      <c r="H179" s="51"/>
      <c r="I179" s="51"/>
      <c r="J179" s="51">
        <v>3</v>
      </c>
      <c r="K179" s="37" t="s">
        <v>1243</v>
      </c>
      <c r="L179" s="50"/>
      <c r="M179" s="4" t="s">
        <v>5</v>
      </c>
      <c r="N179" s="25">
        <v>308</v>
      </c>
      <c r="O179" s="25"/>
      <c r="P179" s="25"/>
      <c r="Q179" s="25"/>
      <c r="R179" s="25"/>
      <c r="S179" s="25"/>
      <c r="T179" s="25">
        <v>82.784417494797552</v>
      </c>
      <c r="U179" s="25">
        <v>390.78441749479754</v>
      </c>
      <c r="V179" s="30">
        <v>26.458416828802132</v>
      </c>
      <c r="W179" s="30">
        <v>98.438723492657047</v>
      </c>
      <c r="X179" s="33">
        <v>246.22</v>
      </c>
      <c r="Y179" s="31"/>
      <c r="Z179" s="31"/>
      <c r="AA179" s="31"/>
      <c r="AB179" s="31"/>
      <c r="AC179" s="31">
        <v>119.274</v>
      </c>
      <c r="AD179" s="31"/>
      <c r="AE179" s="32">
        <v>78.693449670006558</v>
      </c>
      <c r="AF179" s="1"/>
      <c r="AG179" s="4"/>
      <c r="AH179" s="4"/>
      <c r="AI179" s="6">
        <v>3128.85</v>
      </c>
      <c r="AJ179" s="38">
        <v>100</v>
      </c>
      <c r="AK179" s="3"/>
      <c r="AL179" s="1"/>
      <c r="AM179" s="37"/>
      <c r="AN179" s="37"/>
      <c r="AO179" s="37"/>
      <c r="AP179" s="37"/>
      <c r="AQ179" s="37"/>
      <c r="AR179" s="37"/>
      <c r="AS179" s="37"/>
      <c r="AT179" s="37"/>
      <c r="AU179" s="37"/>
      <c r="AV179" s="37"/>
      <c r="AW179" s="37"/>
      <c r="AX179" s="37"/>
      <c r="AY179" s="37"/>
      <c r="AZ179" s="37"/>
      <c r="BA179" s="37"/>
      <c r="BB179" s="37"/>
      <c r="BC179" s="37"/>
      <c r="BD179" s="37"/>
      <c r="BE179" s="37"/>
      <c r="BF179" s="37"/>
      <c r="BG179" s="42">
        <v>308</v>
      </c>
      <c r="BH179" s="42"/>
      <c r="BI179" s="42"/>
      <c r="BJ179" s="42"/>
      <c r="BK179" s="44">
        <v>308</v>
      </c>
      <c r="BL179" s="44">
        <v>0</v>
      </c>
      <c r="BM179" s="44">
        <f>+BK179+BL179</f>
        <v>308</v>
      </c>
      <c r="BN179" s="47">
        <v>98.434004474272925</v>
      </c>
      <c r="BO179" s="47">
        <v>0</v>
      </c>
      <c r="BP179" s="45">
        <v>98.434004474272925</v>
      </c>
      <c r="BQ179" s="9">
        <v>3000</v>
      </c>
      <c r="BR179" s="4"/>
      <c r="BS179" s="4"/>
      <c r="BT179" s="4"/>
      <c r="BU179" s="4"/>
      <c r="BV179" s="4"/>
      <c r="BW179" s="4"/>
      <c r="BX179" s="4"/>
      <c r="BY179" s="9">
        <f>+INT(BK179*faktorji!$B$3)</f>
        <v>20020</v>
      </c>
      <c r="BZ179" s="9">
        <f>+INT(BL179*faktorji!$B$4)</f>
        <v>0</v>
      </c>
      <c r="CA179" s="72" t="s">
        <v>1315</v>
      </c>
      <c r="CB179" s="4">
        <v>0</v>
      </c>
      <c r="CC179" s="4">
        <v>0</v>
      </c>
      <c r="CD179" s="4">
        <v>0</v>
      </c>
      <c r="CE179" s="4">
        <v>0</v>
      </c>
      <c r="CF179" s="4">
        <v>1</v>
      </c>
      <c r="CG179" s="4">
        <v>1</v>
      </c>
      <c r="CH179" s="4">
        <v>1</v>
      </c>
      <c r="CI179" s="9">
        <f>+BQ179*(CB179*faktorji!$B$21+'MOL_tabela rezultatov'!CF97*faktorji!$B$23+'MOL_tabela rezultatov'!CH97*faktorji!$B$26)+faktorji!$B$27*CG179</f>
        <v>63000</v>
      </c>
      <c r="CJ179" s="9">
        <f>+(BZ179*CF179*faktorji!$B$18)+(CG179*faktorji!$B$17*('MOL_tabela rezultatov'!BY97+'MOL_tabela rezultatov'!BZ97))+('MOL_tabela rezultatov'!CH97*faktorji!$B$16*'MOL_tabela rezultatov'!BY97)+('MOL_tabela rezultatov'!CB97*faktorji!$B$12*'MOL_tabela rezultatov'!BY97)</f>
        <v>12900.400000000001</v>
      </c>
      <c r="CK179" s="66">
        <f>+CI179/CJ179</f>
        <v>4.883569501720876</v>
      </c>
      <c r="CL179" s="3" t="str">
        <f>CONCATENATE(IF(CB179&gt;0,"kotlovnica/toplotna postaja, ",""),IF(CF179&gt;0,"razsvetljava, ",""),IF(CG179&gt;0,"energetsko upravljanje, ",""),IF(CH179&gt;0,"manjši investicijski in organizacijski ukrepi, ",""))</f>
        <v xml:space="preserve">razsvetljava, energetsko upravljanje, manjši investicijski in organizacijski ukrepi, </v>
      </c>
      <c r="CM179" s="9">
        <f>+CJ179*0.9</f>
        <v>11610.360000000002</v>
      </c>
      <c r="CN179" s="9">
        <f>+CJ179*0.9</f>
        <v>11610.360000000002</v>
      </c>
      <c r="CO179" s="9">
        <f>+CJ179*0.9</f>
        <v>11610.360000000002</v>
      </c>
      <c r="CP179" s="69">
        <f>+IF(CI179-SUM(CM179:CO179)&lt;0,0,CI179-SUM(CM179:CO179))</f>
        <v>28168.919999999991</v>
      </c>
      <c r="CQ179" s="9">
        <f>+(BQ179*CE179*faktorji!$B$24)+(BQ179^0.5*CC179*4*4*0.66*faktorji!$B$22)+(BQ179^0.5*CD179*4*4*0.33*faktorji!$B$25)</f>
        <v>0</v>
      </c>
      <c r="CR179" s="3" t="str">
        <f t="shared" si="97"/>
        <v/>
      </c>
      <c r="CS179" s="9">
        <f>+BQ179*('MOL_tabela rezultatov'!CH179*faktorji!$B$26)+faktorji!$B$27*CG179</f>
        <v>22500</v>
      </c>
      <c r="CT179" s="3" t="str">
        <f t="shared" si="95"/>
        <v xml:space="preserve">energetsko upravljanje, manjši investicijski in organizacijski ukrepi, </v>
      </c>
      <c r="CU179" s="9">
        <f t="shared" si="127"/>
        <v>5625</v>
      </c>
      <c r="CV179" s="9">
        <f t="shared" ref="CV179:CX179" si="154">+CU179</f>
        <v>5625</v>
      </c>
      <c r="CW179" s="9">
        <f t="shared" si="154"/>
        <v>5625</v>
      </c>
      <c r="CX179" s="69">
        <f t="shared" si="154"/>
        <v>5625</v>
      </c>
    </row>
    <row r="180" spans="1:102" s="10" customFormat="1" ht="18" hidden="1" customHeight="1">
      <c r="A180" s="54" t="s">
        <v>206</v>
      </c>
      <c r="B180" s="3" t="s">
        <v>207</v>
      </c>
      <c r="C180" s="56"/>
      <c r="D180" s="56"/>
      <c r="E180" s="51" t="s">
        <v>1172</v>
      </c>
      <c r="F180" s="51"/>
      <c r="G180" s="51">
        <v>4</v>
      </c>
      <c r="H180" s="51"/>
      <c r="I180" s="51"/>
      <c r="J180" s="51">
        <v>6</v>
      </c>
      <c r="K180" s="37" t="s">
        <v>1243</v>
      </c>
      <c r="L180" s="50"/>
      <c r="M180" s="4" t="s">
        <v>5</v>
      </c>
      <c r="N180" s="25">
        <v>83.78</v>
      </c>
      <c r="O180" s="25"/>
      <c r="P180" s="25"/>
      <c r="Q180" s="25"/>
      <c r="R180" s="25"/>
      <c r="S180" s="25"/>
      <c r="T180" s="25">
        <v>55.6</v>
      </c>
      <c r="U180" s="25">
        <v>139.38</v>
      </c>
      <c r="V180" s="30">
        <v>91.147540983606561</v>
      </c>
      <c r="W180" s="30">
        <v>137.34426229508196</v>
      </c>
      <c r="X180" s="31"/>
      <c r="Y180" s="31"/>
      <c r="Z180" s="31"/>
      <c r="AA180" s="31"/>
      <c r="AB180" s="31"/>
      <c r="AC180" s="31"/>
      <c r="AD180" s="31"/>
      <c r="AE180" s="32"/>
      <c r="AF180" s="1" t="s">
        <v>208</v>
      </c>
      <c r="AG180" s="4"/>
      <c r="AH180" s="4"/>
      <c r="AI180" s="6">
        <v>610</v>
      </c>
      <c r="AJ180" s="38"/>
      <c r="AK180" s="3"/>
      <c r="AL180" s="1" t="s">
        <v>209</v>
      </c>
      <c r="AM180" s="37"/>
      <c r="AN180" s="37"/>
      <c r="AO180" s="37"/>
      <c r="AP180" s="37"/>
      <c r="AQ180" s="37"/>
      <c r="AR180" s="37"/>
      <c r="AS180" s="37"/>
      <c r="AT180" s="37"/>
      <c r="AU180" s="37"/>
      <c r="AV180" s="37"/>
      <c r="AW180" s="37"/>
      <c r="AX180" s="37"/>
      <c r="AY180" s="37"/>
      <c r="AZ180" s="37"/>
      <c r="BA180" s="37"/>
      <c r="BB180" s="37"/>
      <c r="BC180" s="37">
        <v>53.47</v>
      </c>
      <c r="BD180" s="37">
        <v>52.67</v>
      </c>
      <c r="BE180" s="37">
        <v>61.52</v>
      </c>
      <c r="BF180" s="37">
        <v>59.05</v>
      </c>
      <c r="BG180" s="42">
        <v>92.5</v>
      </c>
      <c r="BH180" s="42"/>
      <c r="BI180" s="42"/>
      <c r="BJ180" s="42"/>
      <c r="BK180" s="44">
        <v>92.5</v>
      </c>
      <c r="BL180" s="44">
        <v>56.677499999999995</v>
      </c>
      <c r="BM180" s="44">
        <f>+BK180+BL180</f>
        <v>149.17750000000001</v>
      </c>
      <c r="BN180" s="47">
        <v>142.30769230769232</v>
      </c>
      <c r="BO180" s="47">
        <v>87.196153846153834</v>
      </c>
      <c r="BP180" s="45">
        <v>229.50384615384615</v>
      </c>
      <c r="BQ180" s="9">
        <v>650</v>
      </c>
      <c r="BR180" s="4">
        <v>113</v>
      </c>
      <c r="BS180" s="4">
        <v>1991</v>
      </c>
      <c r="BT180" s="4" t="s">
        <v>1125</v>
      </c>
      <c r="BU180" s="4" t="s">
        <v>1246</v>
      </c>
      <c r="BV180" s="4"/>
      <c r="BW180" s="4"/>
      <c r="BX180" s="4"/>
      <c r="BY180" s="9">
        <f>+INT(BK180*faktorji!$B$3)</f>
        <v>6012</v>
      </c>
      <c r="BZ180" s="9">
        <f>+INT(BL180*faktorji!$B$4)</f>
        <v>9351</v>
      </c>
      <c r="CA180" s="4"/>
      <c r="CB180" s="4">
        <v>0</v>
      </c>
      <c r="CC180" s="4">
        <v>0</v>
      </c>
      <c r="CD180" s="4">
        <v>0</v>
      </c>
      <c r="CE180" s="4">
        <v>0</v>
      </c>
      <c r="CF180" s="4">
        <v>1</v>
      </c>
      <c r="CG180" s="4">
        <v>1</v>
      </c>
      <c r="CH180" s="4">
        <v>1</v>
      </c>
      <c r="CI180" s="9">
        <f>+BQ180*(CB180*faktorji!$B$21+'MOL_tabela rezultatov'!CF73*faktorji!$B$23+'MOL_tabela rezultatov'!CH73*faktorji!$B$26)+faktorji!$B$27*CG180</f>
        <v>18000</v>
      </c>
      <c r="CJ180" s="9">
        <f>+(BZ180*CF180*faktorji!$B$18)+(CG180*faktorji!$B$17*('MOL_tabela rezultatov'!BY73+'MOL_tabela rezultatov'!BZ73))+('MOL_tabela rezultatov'!CH73*faktorji!$B$16*'MOL_tabela rezultatov'!BY73)+('MOL_tabela rezultatov'!CB73*faktorji!$B$12*'MOL_tabela rezultatov'!BY73)</f>
        <v>3402.6499999999996</v>
      </c>
      <c r="CK180" s="66">
        <f>+CI180/CJ180</f>
        <v>5.2899945630611445</v>
      </c>
      <c r="CL180" s="3" t="str">
        <f>CONCATENATE(IF(CB180&gt;0,"kotlovnica/toplotna postaja, ",""),IF(CF180&gt;0,"razsvetljava, ",""),IF(CG180&gt;0,"energetsko upravljanje, ",""),IF(CH180&gt;0,"manjši investicijski in organizacijski ukrepi, ",""))</f>
        <v xml:space="preserve">razsvetljava, energetsko upravljanje, manjši investicijski in organizacijski ukrepi, </v>
      </c>
      <c r="CM180" s="9">
        <f>+CJ180*0.9</f>
        <v>3062.3849999999998</v>
      </c>
      <c r="CN180" s="9">
        <f>+CJ180*0.9</f>
        <v>3062.3849999999998</v>
      </c>
      <c r="CO180" s="9">
        <f>+CJ180*0.9</f>
        <v>3062.3849999999998</v>
      </c>
      <c r="CP180" s="69">
        <f>+IF(CI180-SUM(CM180:CO180)&lt;0,0,CI180-SUM(CM180:CO180))</f>
        <v>8812.8450000000012</v>
      </c>
      <c r="CQ180" s="9">
        <f>+(BQ180*CE180*faktorji!$B$24)+(BQ180^0.5*CC180*4*4*0.66*faktorji!$B$22)+(BQ180^0.5*CD180*4*4*0.33*faktorji!$B$25)</f>
        <v>0</v>
      </c>
      <c r="CR180" s="3" t="str">
        <f t="shared" si="97"/>
        <v/>
      </c>
      <c r="CS180" s="9">
        <f>+BQ180*('MOL_tabela rezultatov'!CH180*faktorji!$B$26)+faktorji!$B$27*CG180</f>
        <v>18975</v>
      </c>
      <c r="CT180" s="3" t="str">
        <f t="shared" si="95"/>
        <v xml:space="preserve">energetsko upravljanje, manjši investicijski in organizacijski ukrepi, </v>
      </c>
      <c r="CU180" s="9">
        <f t="shared" si="127"/>
        <v>4743.75</v>
      </c>
      <c r="CV180" s="9">
        <f t="shared" ref="CV180:CX180" si="155">+CU180</f>
        <v>4743.75</v>
      </c>
      <c r="CW180" s="9">
        <f t="shared" si="155"/>
        <v>4743.75</v>
      </c>
      <c r="CX180" s="69">
        <f t="shared" si="155"/>
        <v>4743.75</v>
      </c>
    </row>
    <row r="181" spans="1:102" s="10" customFormat="1" ht="18" hidden="1" customHeight="1">
      <c r="A181" s="54" t="s">
        <v>42</v>
      </c>
      <c r="B181" s="3" t="s">
        <v>43</v>
      </c>
      <c r="C181" s="56"/>
      <c r="D181" s="56"/>
      <c r="E181" s="51" t="s">
        <v>1168</v>
      </c>
      <c r="F181" s="51" t="s">
        <v>1255</v>
      </c>
      <c r="G181" s="51">
        <v>2</v>
      </c>
      <c r="H181" s="51"/>
      <c r="I181" s="51"/>
      <c r="J181" s="51">
        <v>4</v>
      </c>
      <c r="K181" s="37" t="s">
        <v>1243</v>
      </c>
      <c r="L181" s="50"/>
      <c r="M181" s="4" t="s">
        <v>5</v>
      </c>
      <c r="N181" s="25">
        <v>24.88</v>
      </c>
      <c r="O181" s="25"/>
      <c r="P181" s="25"/>
      <c r="Q181" s="25"/>
      <c r="R181" s="25"/>
      <c r="S181" s="25"/>
      <c r="T181" s="25">
        <v>38.76</v>
      </c>
      <c r="U181" s="25">
        <v>63.64</v>
      </c>
      <c r="V181" s="30">
        <v>158.01059926620465</v>
      </c>
      <c r="W181" s="30">
        <v>101.42682429677944</v>
      </c>
      <c r="X181" s="31"/>
      <c r="Y181" s="31"/>
      <c r="Z181" s="31"/>
      <c r="AA181" s="31"/>
      <c r="AB181" s="31"/>
      <c r="AC181" s="31"/>
      <c r="AD181" s="31"/>
      <c r="AE181" s="32">
        <v>0</v>
      </c>
      <c r="AF181" s="1"/>
      <c r="AG181" s="4"/>
      <c r="AH181" s="4" t="s">
        <v>44</v>
      </c>
      <c r="AI181" s="6">
        <v>245.3</v>
      </c>
      <c r="AJ181" s="38">
        <v>100</v>
      </c>
      <c r="AK181" s="3" t="s">
        <v>45</v>
      </c>
      <c r="AL181" s="1" t="s">
        <v>26</v>
      </c>
      <c r="AM181" s="37" t="e">
        <f>0.05*#REF!</f>
        <v>#REF!</v>
      </c>
      <c r="AN181" s="37" t="e">
        <f>0.05*#REF!</f>
        <v>#REF!</v>
      </c>
      <c r="AO181" s="37" t="e">
        <f>0.05*#REF!</f>
        <v>#REF!</v>
      </c>
      <c r="AP181" s="37" t="e">
        <f>0.05*#REF!</f>
        <v>#REF!</v>
      </c>
      <c r="AQ181" s="37"/>
      <c r="AR181" s="37"/>
      <c r="AS181" s="37"/>
      <c r="AT181" s="37"/>
      <c r="AU181" s="37"/>
      <c r="AV181" s="37"/>
      <c r="AW181" s="37"/>
      <c r="AX181" s="37"/>
      <c r="AY181" s="37"/>
      <c r="AZ181" s="37"/>
      <c r="BA181" s="37"/>
      <c r="BB181" s="37"/>
      <c r="BC181" s="37">
        <v>46.935000000000002</v>
      </c>
      <c r="BD181" s="37">
        <v>44.305000000000007</v>
      </c>
      <c r="BE181" s="37">
        <v>47.69</v>
      </c>
      <c r="BF181" s="37">
        <v>48.025000000000006</v>
      </c>
      <c r="BG181" s="42">
        <v>51.535000000000004</v>
      </c>
      <c r="BH181" s="42"/>
      <c r="BI181" s="42"/>
      <c r="BJ181" s="42"/>
      <c r="BK181" s="44">
        <v>51.535000000000004</v>
      </c>
      <c r="BL181" s="44">
        <v>46.738750000000003</v>
      </c>
      <c r="BM181" s="44">
        <f>+BK181+BL181</f>
        <v>98.273750000000007</v>
      </c>
      <c r="BN181" s="47">
        <v>114.52222222222224</v>
      </c>
      <c r="BO181" s="47">
        <v>103.86388888888889</v>
      </c>
      <c r="BP181" s="45">
        <v>218.38611111111112</v>
      </c>
      <c r="BQ181" s="9">
        <v>450</v>
      </c>
      <c r="BR181" s="4"/>
      <c r="BS181" s="4"/>
      <c r="BT181" s="4"/>
      <c r="BU181" s="4"/>
      <c r="BV181" s="4"/>
      <c r="BW181" s="4"/>
      <c r="BX181" s="4"/>
      <c r="BY181" s="9">
        <f>+INT(BK181*faktorji!$B$3)</f>
        <v>3349</v>
      </c>
      <c r="BZ181" s="9">
        <f>+INT(BL181*faktorji!$B$4)</f>
        <v>7711</v>
      </c>
      <c r="CA181" s="3" t="s">
        <v>1313</v>
      </c>
      <c r="CB181" s="4">
        <v>0</v>
      </c>
      <c r="CC181" s="4">
        <v>0</v>
      </c>
      <c r="CD181" s="4">
        <v>0</v>
      </c>
      <c r="CE181" s="4">
        <v>0</v>
      </c>
      <c r="CF181" s="4">
        <v>0</v>
      </c>
      <c r="CG181" s="4">
        <v>1</v>
      </c>
      <c r="CH181" s="4">
        <v>1</v>
      </c>
      <c r="CI181" s="9">
        <f>+BQ181*(CB181*faktorji!$B$21+'MOL_tabela rezultatov'!CF12*faktorji!$B$23+'MOL_tabela rezultatov'!CH12*faktorji!$B$26)+faktorji!$B$27*CG181</f>
        <v>18675</v>
      </c>
      <c r="CJ181" s="9">
        <f>+(BZ181*CF181*faktorji!$B$18)+(CG181*faktorji!$B$17*('MOL_tabela rezultatov'!BY12+'MOL_tabela rezultatov'!BZ12))+('MOL_tabela rezultatov'!CH12*faktorji!$B$16*'MOL_tabela rezultatov'!BY12)+('MOL_tabela rezultatov'!CB12*faktorji!$B$12*'MOL_tabela rezultatov'!BY12)</f>
        <v>952.60000000000014</v>
      </c>
      <c r="CK181" s="66">
        <f>+CI181/CJ181</f>
        <v>19.604241024564349</v>
      </c>
      <c r="CL181" s="3" t="str">
        <f>CONCATENATE(IF(CB181&gt;0,"kotlovnica/toplotna postaja, ",""),IF(CF181&gt;0,"razsvetljava, ",""),IF(CG181&gt;0,"energetsko upravljanje, ",""),IF(CH181&gt;0,"manjši investicijski in organizacijski ukrepi, ",""))</f>
        <v xml:space="preserve">energetsko upravljanje, manjši investicijski in organizacijski ukrepi, </v>
      </c>
      <c r="CM181" s="9">
        <f>+CJ181*0.9</f>
        <v>857.34000000000015</v>
      </c>
      <c r="CN181" s="9">
        <f>+CJ181*0.9</f>
        <v>857.34000000000015</v>
      </c>
      <c r="CO181" s="9">
        <f>+CJ181*0.9</f>
        <v>857.34000000000015</v>
      </c>
      <c r="CP181" s="69">
        <f>+IF(CI181-SUM(CM181:CO181)&lt;0,0,CI181-SUM(CM181:CO181))</f>
        <v>16102.98</v>
      </c>
      <c r="CQ181" s="9">
        <f>+(BQ181*CE181*faktorji!$B$24)+(BQ181^0.5*CC181*4*4*0.66*faktorji!$B$22)+(BQ181^0.5*CD181*4*4*0.33*faktorji!$B$25)</f>
        <v>0</v>
      </c>
      <c r="CR181" s="3" t="str">
        <f t="shared" si="97"/>
        <v/>
      </c>
      <c r="CS181" s="9">
        <f>+BQ181*('MOL_tabela rezultatov'!CH181*faktorji!$B$26)+faktorji!$B$27*CG181</f>
        <v>18675</v>
      </c>
      <c r="CT181" s="3" t="str">
        <f t="shared" si="95"/>
        <v xml:space="preserve">energetsko upravljanje, manjši investicijski in organizacijski ukrepi, </v>
      </c>
      <c r="CU181" s="9">
        <f t="shared" si="127"/>
        <v>4668.75</v>
      </c>
      <c r="CV181" s="9">
        <f t="shared" ref="CV181:CX181" si="156">+CU181</f>
        <v>4668.75</v>
      </c>
      <c r="CW181" s="9">
        <f t="shared" si="156"/>
        <v>4668.75</v>
      </c>
      <c r="CX181" s="69">
        <f t="shared" si="156"/>
        <v>4668.75</v>
      </c>
    </row>
    <row r="182" spans="1:102" s="10" customFormat="1" ht="18" hidden="1" customHeight="1">
      <c r="A182" s="54" t="s">
        <v>1387</v>
      </c>
      <c r="B182" s="3" t="s">
        <v>98</v>
      </c>
      <c r="C182" s="56" t="s">
        <v>1371</v>
      </c>
      <c r="D182" s="56" t="s">
        <v>1372</v>
      </c>
      <c r="E182" s="51" t="s">
        <v>1167</v>
      </c>
      <c r="F182" s="51"/>
      <c r="G182" s="51">
        <v>2</v>
      </c>
      <c r="H182" s="51"/>
      <c r="I182" s="51"/>
      <c r="J182" s="51">
        <v>4</v>
      </c>
      <c r="K182" s="37" t="s">
        <v>1243</v>
      </c>
      <c r="L182" s="50"/>
      <c r="M182" s="4" t="s">
        <v>5</v>
      </c>
      <c r="N182" s="25">
        <v>862.7</v>
      </c>
      <c r="O182" s="25"/>
      <c r="P182" s="25"/>
      <c r="Q182" s="25"/>
      <c r="R182" s="25"/>
      <c r="S182" s="25"/>
      <c r="T182" s="25">
        <v>769.24199999999996</v>
      </c>
      <c r="U182" s="25">
        <v>1631.942</v>
      </c>
      <c r="V182" s="30">
        <v>149.97894326379409</v>
      </c>
      <c r="W182" s="30">
        <v>101.41060303279652</v>
      </c>
      <c r="X182" s="31">
        <v>740.5</v>
      </c>
      <c r="Y182" s="31"/>
      <c r="Z182" s="31"/>
      <c r="AA182" s="31"/>
      <c r="AB182" s="31"/>
      <c r="AC182" s="31">
        <v>761.63</v>
      </c>
      <c r="AD182" s="31"/>
      <c r="AE182" s="32">
        <v>87.045962148818617</v>
      </c>
      <c r="AF182" s="1">
        <v>1236</v>
      </c>
      <c r="AG182" s="4"/>
      <c r="AH182" s="4" t="s">
        <v>99</v>
      </c>
      <c r="AI182" s="4">
        <v>5129</v>
      </c>
      <c r="AJ182" s="38">
        <v>100</v>
      </c>
      <c r="AK182" s="34" t="s">
        <v>92</v>
      </c>
      <c r="AL182" s="1" t="s">
        <v>93</v>
      </c>
      <c r="AM182" s="37">
        <f>1005.4+119.6</f>
        <v>1125</v>
      </c>
      <c r="AN182" s="37">
        <f>989.3+138.6</f>
        <v>1127.8999999999999</v>
      </c>
      <c r="AO182" s="37">
        <f>821.6+133.5</f>
        <v>955.1</v>
      </c>
      <c r="AP182" s="37">
        <f>787.9+126.9</f>
        <v>914.8</v>
      </c>
      <c r="AQ182" s="37"/>
      <c r="AR182" s="37"/>
      <c r="AS182" s="37"/>
      <c r="AT182" s="37"/>
      <c r="AU182" s="37"/>
      <c r="AV182" s="37"/>
      <c r="AW182" s="37"/>
      <c r="AX182" s="37"/>
      <c r="AY182" s="37"/>
      <c r="AZ182" s="37"/>
      <c r="BA182" s="37"/>
      <c r="BB182" s="37"/>
      <c r="BC182" s="37">
        <v>938.7</v>
      </c>
      <c r="BD182" s="37">
        <v>886.1</v>
      </c>
      <c r="BE182" s="37">
        <v>953.8</v>
      </c>
      <c r="BF182" s="37">
        <v>960.5</v>
      </c>
      <c r="BG182" s="42">
        <v>1030.6999999999998</v>
      </c>
      <c r="BH182" s="42"/>
      <c r="BI182" s="42"/>
      <c r="BJ182" s="42"/>
      <c r="BK182" s="44">
        <v>1030.6999999999998</v>
      </c>
      <c r="BL182" s="44">
        <v>934.77500000000009</v>
      </c>
      <c r="BM182" s="44">
        <f>+BK182+BL182</f>
        <v>1965.4749999999999</v>
      </c>
      <c r="BN182" s="47">
        <v>114.70064544847538</v>
      </c>
      <c r="BO182" s="47">
        <v>104.02570665479637</v>
      </c>
      <c r="BP182" s="45">
        <v>218.72635210327175</v>
      </c>
      <c r="BQ182" s="9">
        <v>8986</v>
      </c>
      <c r="BR182" s="4">
        <v>1235</v>
      </c>
      <c r="BS182" s="4">
        <v>1980</v>
      </c>
      <c r="BT182" s="4" t="s">
        <v>872</v>
      </c>
      <c r="BU182" s="1" t="s">
        <v>1085</v>
      </c>
      <c r="BV182" s="4" t="s">
        <v>871</v>
      </c>
      <c r="BW182" s="4" t="s">
        <v>1086</v>
      </c>
      <c r="BX182" s="4"/>
      <c r="BY182" s="9">
        <f>+INT(BK182*faktorji!$B$3)</f>
        <v>66995</v>
      </c>
      <c r="BZ182" s="9">
        <f>+INT(BL182*faktorji!$B$4)</f>
        <v>154237</v>
      </c>
      <c r="CA182" s="72" t="s">
        <v>1295</v>
      </c>
      <c r="CB182" s="4">
        <v>1</v>
      </c>
      <c r="CC182" s="4">
        <v>1</v>
      </c>
      <c r="CD182" s="4">
        <v>0</v>
      </c>
      <c r="CE182" s="4">
        <v>1</v>
      </c>
      <c r="CF182" s="4">
        <v>1</v>
      </c>
      <c r="CG182" s="4">
        <v>1</v>
      </c>
      <c r="CH182" s="4">
        <v>1</v>
      </c>
      <c r="CI182" s="9">
        <f>+BQ182*(CB182*faktorji!$B$21+'MOL_tabela rezultatov'!CF31*faktorji!$B$23+'MOL_tabela rezultatov'!CH31*faktorji!$B$26)+faktorji!$B$27*CG182</f>
        <v>166269</v>
      </c>
      <c r="CJ182" s="9">
        <f>+(BZ182*CF182*faktorji!$B$18)+(CG182*faktorji!$B$17*('MOL_tabela rezultatov'!BY31+'MOL_tabela rezultatov'!BZ31))+('MOL_tabela rezultatov'!CH31*faktorji!$B$16*'MOL_tabela rezultatov'!BY31)+('MOL_tabela rezultatov'!CB31*faktorji!$B$12*'MOL_tabela rezultatov'!BY31)</f>
        <v>23422.350000000002</v>
      </c>
      <c r="CK182" s="66">
        <f>+CI182/CJ182</f>
        <v>7.0987326207660626</v>
      </c>
      <c r="CL182" s="3" t="str">
        <f>CONCATENATE(IF(CB182&gt;0,"kotlovnica/toplotna postaja, ",""),IF(CF182&gt;0,"razsvetljava, ",""),IF(CG182&gt;0,"energetsko upravljanje, ",""),IF(CH182&gt;0,"manjši investicijski in organizacijski ukrepi, ",""))</f>
        <v xml:space="preserve">kotlovnica/toplotna postaja, razsvetljava, energetsko upravljanje, manjši investicijski in organizacijski ukrepi, </v>
      </c>
      <c r="CM182" s="9">
        <f>+CJ182*0.9</f>
        <v>21080.115000000002</v>
      </c>
      <c r="CN182" s="9">
        <f>+CJ182*0.9</f>
        <v>21080.115000000002</v>
      </c>
      <c r="CO182" s="9">
        <f>+CJ182*0.9</f>
        <v>21080.115000000002</v>
      </c>
      <c r="CP182" s="69">
        <f>+IF(CI182-SUM(CM182:CO182)&lt;0,0,CI182-SUM(CM182:CO182))</f>
        <v>103028.655</v>
      </c>
      <c r="CQ182" s="9">
        <f>+(BQ182*CE182*faktorji!$B$24)+(BQ182^0.5*CC182*4*4*0.66*faktorji!$B$22)+(BQ182^0.5*CD182*4*4*0.33*faktorji!$B$25)</f>
        <v>249792.10519914469</v>
      </c>
      <c r="CR182" s="3" t="str">
        <f t="shared" si="97"/>
        <v xml:space="preserve">izolacija ovoja, izolacija podstrešja, </v>
      </c>
      <c r="CS182" s="9">
        <f>+BQ182*('MOL_tabela rezultatov'!CH182*faktorji!$B$26)+faktorji!$B$27*CG182</f>
        <v>31479</v>
      </c>
      <c r="CT182" s="3" t="str">
        <f t="shared" si="95"/>
        <v xml:space="preserve">energetsko upravljanje, manjši investicijski in organizacijski ukrepi, </v>
      </c>
      <c r="CU182" s="9">
        <f t="shared" si="127"/>
        <v>7869.75</v>
      </c>
      <c r="CV182" s="9">
        <f t="shared" ref="CV182:CX182" si="157">+CU182</f>
        <v>7869.75</v>
      </c>
      <c r="CW182" s="9">
        <f t="shared" si="157"/>
        <v>7869.75</v>
      </c>
      <c r="CX182" s="69">
        <f t="shared" si="157"/>
        <v>7869.75</v>
      </c>
    </row>
    <row r="183" spans="1:102" s="10" customFormat="1" ht="18" hidden="1" customHeight="1">
      <c r="A183" s="54" t="s">
        <v>46</v>
      </c>
      <c r="B183" s="3" t="s">
        <v>47</v>
      </c>
      <c r="C183" s="56"/>
      <c r="D183" s="56"/>
      <c r="E183" s="51" t="s">
        <v>1168</v>
      </c>
      <c r="F183" s="51" t="s">
        <v>1255</v>
      </c>
      <c r="G183" s="51">
        <v>2</v>
      </c>
      <c r="H183" s="51"/>
      <c r="I183" s="51"/>
      <c r="J183" s="51">
        <v>4</v>
      </c>
      <c r="K183" s="37" t="s">
        <v>1244</v>
      </c>
      <c r="L183" s="50"/>
      <c r="M183" s="4" t="s">
        <v>5</v>
      </c>
      <c r="N183" s="25">
        <v>49.454774199644639</v>
      </c>
      <c r="O183" s="25"/>
      <c r="P183" s="25"/>
      <c r="Q183" s="25"/>
      <c r="R183" s="25"/>
      <c r="S183" s="25"/>
      <c r="T183" s="25">
        <v>25.38</v>
      </c>
      <c r="U183" s="25">
        <v>74.834774199644642</v>
      </c>
      <c r="V183" s="30">
        <v>86.517811487983622</v>
      </c>
      <c r="W183" s="30">
        <v>168.58624237138108</v>
      </c>
      <c r="X183" s="31"/>
      <c r="Y183" s="31"/>
      <c r="Z183" s="31"/>
      <c r="AA183" s="31"/>
      <c r="AB183" s="31"/>
      <c r="AC183" s="31">
        <v>16.29</v>
      </c>
      <c r="AD183" s="31"/>
      <c r="AE183" s="32">
        <v>0</v>
      </c>
      <c r="AF183" s="1"/>
      <c r="AG183" s="4"/>
      <c r="AH183" s="4" t="s">
        <v>48</v>
      </c>
      <c r="AI183" s="6">
        <v>293.35000000000002</v>
      </c>
      <c r="AJ183" s="38">
        <v>100</v>
      </c>
      <c r="AK183" s="3" t="s">
        <v>49</v>
      </c>
      <c r="AL183" s="1" t="s">
        <v>26</v>
      </c>
      <c r="AM183" s="37"/>
      <c r="AN183" s="37"/>
      <c r="AO183" s="37"/>
      <c r="AP183" s="37"/>
      <c r="AQ183" s="37"/>
      <c r="AR183" s="37"/>
      <c r="AS183" s="37"/>
      <c r="AT183" s="37"/>
      <c r="AU183" s="37"/>
      <c r="AV183" s="37"/>
      <c r="AW183" s="37"/>
      <c r="AX183" s="37"/>
      <c r="AY183" s="37"/>
      <c r="AZ183" s="37"/>
      <c r="BA183" s="37"/>
      <c r="BB183" s="37"/>
      <c r="BC183" s="37"/>
      <c r="BD183" s="37"/>
      <c r="BE183" s="37"/>
      <c r="BF183" s="37"/>
      <c r="BG183" s="42">
        <v>51</v>
      </c>
      <c r="BH183" s="42"/>
      <c r="BI183" s="42"/>
      <c r="BJ183" s="42"/>
      <c r="BK183" s="44">
        <v>51</v>
      </c>
      <c r="BL183" s="44">
        <v>25.38</v>
      </c>
      <c r="BM183" s="44">
        <f>+BK183+BL183</f>
        <v>76.38</v>
      </c>
      <c r="BN183" s="47">
        <v>173.85375830918696</v>
      </c>
      <c r="BO183" s="47">
        <v>86.517811487983636</v>
      </c>
      <c r="BP183" s="45">
        <v>260.37156979717059</v>
      </c>
      <c r="BQ183" s="9">
        <v>293.35000000000002</v>
      </c>
      <c r="BR183" s="4"/>
      <c r="BS183" s="4"/>
      <c r="BT183" s="4"/>
      <c r="BU183" s="4"/>
      <c r="BV183" s="4"/>
      <c r="BW183" s="4"/>
      <c r="BX183" s="4"/>
      <c r="BY183" s="9">
        <f>+INT(BK183*faktorji!$B$3)</f>
        <v>3315</v>
      </c>
      <c r="BZ183" s="9">
        <f>+INT(BL183*faktorji!$B$4)</f>
        <v>4187</v>
      </c>
      <c r="CA183" s="3" t="s">
        <v>1313</v>
      </c>
      <c r="CB183" s="4">
        <v>0</v>
      </c>
      <c r="CC183" s="4">
        <v>0</v>
      </c>
      <c r="CD183" s="4">
        <v>0</v>
      </c>
      <c r="CE183" s="4">
        <v>0</v>
      </c>
      <c r="CF183" s="4">
        <v>0</v>
      </c>
      <c r="CG183" s="4">
        <v>1</v>
      </c>
      <c r="CH183" s="4">
        <v>1</v>
      </c>
      <c r="CI183" s="9">
        <f>+BQ183*(CB183*faktorji!$B$21+'MOL_tabela rezultatov'!CF13*faktorji!$B$23+'MOL_tabela rezultatov'!CH13*faktorji!$B$26)+faktorji!$B$27*CG183</f>
        <v>22840.275000000001</v>
      </c>
      <c r="CJ183" s="9">
        <f>+(BZ183*CF183*faktorji!$B$18)+(CG183*faktorji!$B$17*('MOL_tabela rezultatov'!BY13+'MOL_tabela rezultatov'!BZ13))+('MOL_tabela rezultatov'!CH13*faktorji!$B$16*'MOL_tabela rezultatov'!BY13)+('MOL_tabela rezultatov'!CB13*faktorji!$B$12*'MOL_tabela rezultatov'!BY13)</f>
        <v>718.5</v>
      </c>
      <c r="CK183" s="66">
        <f>+CI183/CJ183</f>
        <v>31.788830897703551</v>
      </c>
      <c r="CL183" s="3" t="str">
        <f>CONCATENATE(IF(CB183&gt;0,"kotlovnica/toplotna postaja, ",""),IF(CF183&gt;0,"razsvetljava, ",""),IF(CG183&gt;0,"energetsko upravljanje, ",""),IF(CH183&gt;0,"manjši investicijski in organizacijski ukrepi, ",""))</f>
        <v xml:space="preserve">energetsko upravljanje, manjši investicijski in organizacijski ukrepi, </v>
      </c>
      <c r="CM183" s="9">
        <f>+CJ183*0.9</f>
        <v>646.65</v>
      </c>
      <c r="CN183" s="9">
        <f>+CJ183*0.9</f>
        <v>646.65</v>
      </c>
      <c r="CO183" s="9">
        <f>+CJ183*0.9</f>
        <v>646.65</v>
      </c>
      <c r="CP183" s="69">
        <f>+IF(CI183-SUM(CM183:CO183)&lt;0,0,CI183-SUM(CM183:CO183))</f>
        <v>20900.325000000001</v>
      </c>
      <c r="CQ183" s="9">
        <f>+(BQ183*CE183*faktorji!$B$24)+(BQ183^0.5*CC183*4*4*0.66*faktorji!$B$22)+(BQ183^0.5*CD183*4*4*0.33*faktorji!$B$25)</f>
        <v>0</v>
      </c>
      <c r="CR183" s="3" t="str">
        <f t="shared" si="97"/>
        <v/>
      </c>
      <c r="CS183" s="9">
        <f>+BQ183*('MOL_tabela rezultatov'!CH183*faktorji!$B$26)+faktorji!$B$27*CG183</f>
        <v>18440.025000000001</v>
      </c>
      <c r="CT183" s="3" t="str">
        <f t="shared" si="95"/>
        <v xml:space="preserve">energetsko upravljanje, manjši investicijski in organizacijski ukrepi, </v>
      </c>
      <c r="CU183" s="9">
        <f t="shared" si="127"/>
        <v>4610.0062500000004</v>
      </c>
      <c r="CV183" s="9">
        <f t="shared" ref="CV183:CX183" si="158">+CU183</f>
        <v>4610.0062500000004</v>
      </c>
      <c r="CW183" s="9">
        <f t="shared" si="158"/>
        <v>4610.0062500000004</v>
      </c>
      <c r="CX183" s="69">
        <f t="shared" si="158"/>
        <v>4610.0062500000004</v>
      </c>
    </row>
    <row r="184" spans="1:102" s="10" customFormat="1" ht="18" hidden="1" customHeight="1">
      <c r="A184" s="53" t="s">
        <v>183</v>
      </c>
      <c r="B184" s="2" t="s">
        <v>184</v>
      </c>
      <c r="C184" s="57"/>
      <c r="D184" s="57"/>
      <c r="E184" s="51" t="s">
        <v>1170</v>
      </c>
      <c r="F184" s="51"/>
      <c r="G184" s="51">
        <v>3</v>
      </c>
      <c r="H184" s="51"/>
      <c r="I184" s="51"/>
      <c r="J184" s="51">
        <v>6</v>
      </c>
      <c r="K184" s="37" t="s">
        <v>1241</v>
      </c>
      <c r="L184" s="50"/>
      <c r="M184" s="4" t="s">
        <v>5</v>
      </c>
      <c r="N184" s="25">
        <v>50.4</v>
      </c>
      <c r="O184" s="25"/>
      <c r="P184" s="25"/>
      <c r="Q184" s="25"/>
      <c r="R184" s="25"/>
      <c r="S184" s="25"/>
      <c r="T184" s="25">
        <v>2.98</v>
      </c>
      <c r="U184" s="25">
        <v>53.379999999999995</v>
      </c>
      <c r="V184" s="30">
        <v>16.555555555555557</v>
      </c>
      <c r="W184" s="30">
        <v>280</v>
      </c>
      <c r="X184" s="31">
        <v>44.8</v>
      </c>
      <c r="Y184" s="31"/>
      <c r="Z184" s="31"/>
      <c r="AA184" s="31"/>
      <c r="AB184" s="31"/>
      <c r="AC184" s="31">
        <v>2.7</v>
      </c>
      <c r="AD184" s="31"/>
      <c r="AE184" s="32">
        <v>248.88888888888889</v>
      </c>
      <c r="AF184" s="1"/>
      <c r="AG184" s="4"/>
      <c r="AH184" s="4"/>
      <c r="AI184" s="6">
        <v>180</v>
      </c>
      <c r="AJ184" s="38">
        <v>8</v>
      </c>
      <c r="AK184" s="3" t="s">
        <v>185</v>
      </c>
      <c r="AL184" s="1"/>
      <c r="AM184" s="37"/>
      <c r="AN184" s="37"/>
      <c r="AO184" s="37"/>
      <c r="AP184" s="37"/>
      <c r="AQ184" s="37"/>
      <c r="AR184" s="37"/>
      <c r="AS184" s="37"/>
      <c r="AT184" s="37"/>
      <c r="AU184" s="37"/>
      <c r="AV184" s="37"/>
      <c r="AW184" s="37"/>
      <c r="AX184" s="37"/>
      <c r="AY184" s="37"/>
      <c r="AZ184" s="37"/>
      <c r="BA184" s="37"/>
      <c r="BB184" s="37"/>
      <c r="BC184" s="37"/>
      <c r="BD184" s="37"/>
      <c r="BE184" s="37"/>
      <c r="BF184" s="37"/>
      <c r="BG184" s="42">
        <v>50.4</v>
      </c>
      <c r="BH184" s="42"/>
      <c r="BI184" s="42"/>
      <c r="BJ184" s="42"/>
      <c r="BK184" s="44">
        <v>50.4</v>
      </c>
      <c r="BL184" s="44">
        <v>2.98</v>
      </c>
      <c r="BM184" s="44">
        <f>+BK184+BL184</f>
        <v>53.379999999999995</v>
      </c>
      <c r="BN184" s="47">
        <v>280</v>
      </c>
      <c r="BO184" s="47">
        <v>16.555555555555557</v>
      </c>
      <c r="BP184" s="45">
        <v>296.55555555555554</v>
      </c>
      <c r="BQ184" s="9">
        <v>180</v>
      </c>
      <c r="BR184" s="4"/>
      <c r="BS184" s="4"/>
      <c r="BT184" s="4"/>
      <c r="BU184" s="4"/>
      <c r="BV184" s="4"/>
      <c r="BW184" s="4"/>
      <c r="BX184" s="4"/>
      <c r="BY184" s="9">
        <f>+INT(BK184*faktorji!$B$3)</f>
        <v>3276</v>
      </c>
      <c r="BZ184" s="9">
        <f>+INT(BL184*faktorji!$B$4)</f>
        <v>491</v>
      </c>
      <c r="CA184" s="4"/>
      <c r="CB184" s="4">
        <v>0</v>
      </c>
      <c r="CC184" s="4">
        <v>0</v>
      </c>
      <c r="CD184" s="4">
        <v>0</v>
      </c>
      <c r="CE184" s="4">
        <v>0</v>
      </c>
      <c r="CF184" s="4">
        <v>1</v>
      </c>
      <c r="CG184" s="4">
        <v>1</v>
      </c>
      <c r="CH184" s="4">
        <v>1</v>
      </c>
      <c r="CI184" s="9">
        <f>+BQ184*(CB184*faktorji!$B$21+'MOL_tabela rezultatov'!CF67*faktorji!$B$23+'MOL_tabela rezultatov'!CH67*faktorji!$B$26)+faktorji!$B$27*CG184</f>
        <v>18270</v>
      </c>
      <c r="CJ184" s="9">
        <f>+(BZ184*CF184*faktorji!$B$18)+(CG184*faktorji!$B$17*('MOL_tabela rezultatov'!BY67+'MOL_tabela rezultatov'!BZ67))+('MOL_tabela rezultatov'!CH67*faktorji!$B$16*'MOL_tabela rezultatov'!BY67)+('MOL_tabela rezultatov'!CB67*faktorji!$B$12*'MOL_tabela rezultatov'!BY67)</f>
        <v>655.15000000000009</v>
      </c>
      <c r="CK184" s="66">
        <f>+CI184/CJ184</f>
        <v>27.886743493856365</v>
      </c>
      <c r="CL184" s="3" t="str">
        <f>CONCATENATE(IF(CB184&gt;0,"kotlovnica/toplotna postaja, ",""),IF(CF184&gt;0,"razsvetljava, ",""),IF(CG184&gt;0,"energetsko upravljanje, ",""),IF(CH184&gt;0,"manjši investicijski in organizacijski ukrepi, ",""))</f>
        <v xml:space="preserve">razsvetljava, energetsko upravljanje, manjši investicijski in organizacijski ukrepi, </v>
      </c>
      <c r="CM184" s="9">
        <f>+CJ184*0.9</f>
        <v>589.6350000000001</v>
      </c>
      <c r="CN184" s="9">
        <f>+CJ184*0.9</f>
        <v>589.6350000000001</v>
      </c>
      <c r="CO184" s="9">
        <f>+CJ184*0.9</f>
        <v>589.6350000000001</v>
      </c>
      <c r="CP184" s="69">
        <f>+IF(CI184-SUM(CM184:CO184)&lt;0,0,CI184-SUM(CM184:CO184))</f>
        <v>16501.095000000001</v>
      </c>
      <c r="CQ184" s="9">
        <f>+(BQ184*CE184*faktorji!$B$24)+(BQ184^0.5*CC184*4*4*0.66*faktorji!$B$22)+(BQ184^0.5*CD184*4*4*0.33*faktorji!$B$25)</f>
        <v>0</v>
      </c>
      <c r="CR184" s="3" t="str">
        <f t="shared" si="97"/>
        <v/>
      </c>
      <c r="CS184" s="9">
        <f>+BQ184*('MOL_tabela rezultatov'!CH184*faktorji!$B$26)+faktorji!$B$27*CG184</f>
        <v>18270</v>
      </c>
      <c r="CT184" s="3" t="str">
        <f t="shared" ref="CT184:CT240" si="159">CONCATENATE(IF(CG184&gt;0,"energetsko upravljanje, ",""),IF(CH184&gt;0,"manjši investicijski in organizacijski ukrepi, ",""))</f>
        <v xml:space="preserve">energetsko upravljanje, manjši investicijski in organizacijski ukrepi, </v>
      </c>
      <c r="CU184" s="9">
        <f t="shared" si="127"/>
        <v>4567.5</v>
      </c>
      <c r="CV184" s="9">
        <f t="shared" ref="CV184:CX184" si="160">+CU184</f>
        <v>4567.5</v>
      </c>
      <c r="CW184" s="9">
        <f t="shared" si="160"/>
        <v>4567.5</v>
      </c>
      <c r="CX184" s="69">
        <f t="shared" si="160"/>
        <v>4567.5</v>
      </c>
    </row>
    <row r="185" spans="1:102" s="10" customFormat="1" ht="18" hidden="1" customHeight="1">
      <c r="A185" s="54" t="s">
        <v>1402</v>
      </c>
      <c r="B185" s="3" t="s">
        <v>1401</v>
      </c>
      <c r="C185" s="56"/>
      <c r="D185" s="56"/>
      <c r="E185" s="51" t="s">
        <v>331</v>
      </c>
      <c r="F185" s="51" t="s">
        <v>1255</v>
      </c>
      <c r="G185" s="51">
        <v>3</v>
      </c>
      <c r="H185" s="51"/>
      <c r="I185" s="51"/>
      <c r="J185" s="51">
        <v>7</v>
      </c>
      <c r="K185" s="37"/>
      <c r="L185" s="50"/>
      <c r="M185" s="4"/>
      <c r="N185" s="25"/>
      <c r="O185" s="25"/>
      <c r="P185" s="25"/>
      <c r="Q185" s="25"/>
      <c r="R185" s="25"/>
      <c r="S185" s="25"/>
      <c r="T185" s="25"/>
      <c r="U185" s="25"/>
      <c r="V185" s="30"/>
      <c r="W185" s="30"/>
      <c r="X185" s="31"/>
      <c r="Y185" s="31"/>
      <c r="Z185" s="31"/>
      <c r="AA185" s="31"/>
      <c r="AB185" s="31"/>
      <c r="AC185" s="31"/>
      <c r="AD185" s="31"/>
      <c r="AE185" s="32"/>
      <c r="AF185" s="1"/>
      <c r="AG185" s="4"/>
      <c r="AH185" s="4"/>
      <c r="AI185" s="6"/>
      <c r="AJ185" s="38"/>
      <c r="AK185" s="3"/>
      <c r="AL185" s="1"/>
      <c r="AM185" s="37"/>
      <c r="AN185" s="37"/>
      <c r="AO185" s="37"/>
      <c r="AP185" s="37"/>
      <c r="AQ185" s="37"/>
      <c r="AR185" s="37"/>
      <c r="AS185" s="37"/>
      <c r="AT185" s="37"/>
      <c r="AU185" s="37"/>
      <c r="AV185" s="37"/>
      <c r="AW185" s="37"/>
      <c r="AX185" s="37"/>
      <c r="AY185" s="37"/>
      <c r="AZ185" s="37"/>
      <c r="BA185" s="37"/>
      <c r="BB185" s="37"/>
      <c r="BC185" s="37"/>
      <c r="BD185" s="37"/>
      <c r="BE185" s="37"/>
      <c r="BF185" s="37"/>
      <c r="BG185" s="42"/>
      <c r="BH185" s="42"/>
      <c r="BI185" s="42"/>
      <c r="BJ185" s="42"/>
      <c r="BK185" s="44">
        <v>661.10500000000002</v>
      </c>
      <c r="BL185" s="44">
        <v>250.33499999999998</v>
      </c>
      <c r="BM185" s="44">
        <f>+BK185+BL185</f>
        <v>911.44</v>
      </c>
      <c r="BN185" s="47">
        <v>236.10892857142858</v>
      </c>
      <c r="BO185" s="47">
        <v>89.405357142857127</v>
      </c>
      <c r="BP185" s="45"/>
      <c r="BQ185" s="9"/>
      <c r="BR185" s="4"/>
      <c r="BS185" s="4"/>
      <c r="BT185" s="4"/>
      <c r="BU185" s="4"/>
      <c r="BV185" s="4"/>
      <c r="BW185" s="1"/>
      <c r="BX185" s="4"/>
      <c r="BY185" s="9"/>
      <c r="BZ185" s="9"/>
      <c r="CA185" s="4"/>
      <c r="CB185" s="4">
        <v>0</v>
      </c>
      <c r="CC185" s="4">
        <v>0</v>
      </c>
      <c r="CD185" s="4">
        <v>0</v>
      </c>
      <c r="CE185" s="4">
        <v>0</v>
      </c>
      <c r="CF185" s="4">
        <v>0</v>
      </c>
      <c r="CG185" s="4">
        <v>1</v>
      </c>
      <c r="CH185" s="4">
        <v>1</v>
      </c>
      <c r="CI185" s="9">
        <f>+BQ185*(CB185*faktorji!$B$21+'MOL_tabela rezultatov'!CF163*faktorji!$B$23+'MOL_tabela rezultatov'!CH163*faktorji!$B$26)+faktorji!$B$27*CG185</f>
        <v>18000</v>
      </c>
      <c r="CJ185" s="9">
        <f>+(BZ185*CF185*faktorji!$B$18)+(CG185*faktorji!$B$17*('MOL_tabela rezultatov'!BY163+'MOL_tabela rezultatov'!BZ163))+('MOL_tabela rezultatov'!CH163*faktorji!$B$16*'MOL_tabela rezultatov'!BY163)+('MOL_tabela rezultatov'!CB163*faktorji!$B$12*'MOL_tabela rezultatov'!BY163)</f>
        <v>291.20000000000005</v>
      </c>
      <c r="CK185" s="66">
        <f>+CI185/CJ185</f>
        <v>61.813186813186803</v>
      </c>
      <c r="CL185" s="3" t="str">
        <f>CONCATENATE(IF(CB185&gt;0,"kotlovnica/toplotna postaja, ",""),IF(CF185&gt;0,"razsvetljava, ",""),IF(CG185&gt;0,"energetsko upravljanje, ",""),IF(CH185&gt;0,"manjši investicijski in organizacijski ukrepi, ",""))</f>
        <v xml:space="preserve">energetsko upravljanje, manjši investicijski in organizacijski ukrepi, </v>
      </c>
      <c r="CM185" s="9">
        <f>+CJ185*0.9</f>
        <v>262.08000000000004</v>
      </c>
      <c r="CN185" s="9">
        <f>+CJ185*0.9</f>
        <v>262.08000000000004</v>
      </c>
      <c r="CO185" s="9">
        <f>+CJ185*0.9</f>
        <v>262.08000000000004</v>
      </c>
      <c r="CP185" s="69">
        <f>+IF(CI185-SUM(CM185:CO185)&lt;0,0,CI185-SUM(CM185:CO185))</f>
        <v>17213.759999999998</v>
      </c>
      <c r="CQ185" s="9">
        <f>+(BQ185*CE185*faktorji!$B$24)+(BQ185^0.5*CC185*4*4*0.66*faktorji!$B$22)+(BQ185^0.5*CD185*4*4*0.33*faktorji!$B$25)</f>
        <v>0</v>
      </c>
      <c r="CR185" s="3" t="str">
        <f t="shared" ref="CR185:CR241" si="161">CONCATENATE(IF(CC185&gt;0,"izolacija ovoja, ",""),IF(CD185&gt;0,"stavbno pohištvo, ",""),IF(CE185&gt;0,"izolacija podstrešja, ",""))</f>
        <v/>
      </c>
      <c r="CS185" s="9">
        <f>+BQ185*('MOL_tabela rezultatov'!CH185*faktorji!$B$26)+faktorji!$B$27*CG185</f>
        <v>18000</v>
      </c>
      <c r="CT185" s="3" t="str">
        <f t="shared" si="159"/>
        <v xml:space="preserve">energetsko upravljanje, manjši investicijski in organizacijski ukrepi, </v>
      </c>
      <c r="CU185" s="9">
        <f t="shared" si="127"/>
        <v>4500</v>
      </c>
      <c r="CV185" s="9">
        <f t="shared" ref="CV185:CX185" si="162">+CU185</f>
        <v>4500</v>
      </c>
      <c r="CW185" s="9">
        <f t="shared" si="162"/>
        <v>4500</v>
      </c>
      <c r="CX185" s="69">
        <f t="shared" si="162"/>
        <v>4500</v>
      </c>
    </row>
    <row r="186" spans="1:102" s="10" customFormat="1" ht="18" hidden="1" customHeight="1">
      <c r="A186" s="54" t="s">
        <v>195</v>
      </c>
      <c r="B186" s="3" t="s">
        <v>196</v>
      </c>
      <c r="C186" s="56"/>
      <c r="D186" s="56"/>
      <c r="E186" s="51" t="s">
        <v>1171</v>
      </c>
      <c r="F186" s="51"/>
      <c r="G186" s="51">
        <v>3</v>
      </c>
      <c r="H186" s="51"/>
      <c r="I186" s="51"/>
      <c r="J186" s="51">
        <v>7</v>
      </c>
      <c r="K186" s="37" t="s">
        <v>1244</v>
      </c>
      <c r="L186" s="50"/>
      <c r="M186" s="4" t="s">
        <v>6</v>
      </c>
      <c r="N186" s="25"/>
      <c r="O186" s="25">
        <v>30.4</v>
      </c>
      <c r="P186" s="25"/>
      <c r="Q186" s="25"/>
      <c r="R186" s="25"/>
      <c r="S186" s="25"/>
      <c r="T186" s="25">
        <v>14.922799306313967</v>
      </c>
      <c r="U186" s="25"/>
      <c r="V186" s="30">
        <v>64.881736114408554</v>
      </c>
      <c r="W186" s="30">
        <v>132.17391304347825</v>
      </c>
      <c r="X186" s="31"/>
      <c r="Y186" s="31"/>
      <c r="Z186" s="31"/>
      <c r="AA186" s="31"/>
      <c r="AB186" s="31"/>
      <c r="AC186" s="31"/>
      <c r="AD186" s="31"/>
      <c r="AE186" s="32">
        <v>0</v>
      </c>
      <c r="AF186" s="1"/>
      <c r="AG186" s="4"/>
      <c r="AH186" s="4"/>
      <c r="AI186" s="6">
        <v>230</v>
      </c>
      <c r="AJ186" s="38"/>
      <c r="AK186" s="3"/>
      <c r="AL186" s="1"/>
      <c r="AM186" s="37"/>
      <c r="AN186" s="37"/>
      <c r="AO186" s="37"/>
      <c r="AP186" s="37"/>
      <c r="AQ186" s="37"/>
      <c r="AR186" s="37"/>
      <c r="AS186" s="37"/>
      <c r="AT186" s="37"/>
      <c r="AU186" s="37"/>
      <c r="AV186" s="37"/>
      <c r="AW186" s="37"/>
      <c r="AX186" s="37"/>
      <c r="AY186" s="37"/>
      <c r="AZ186" s="37"/>
      <c r="BA186" s="37"/>
      <c r="BB186" s="37"/>
      <c r="BC186" s="37"/>
      <c r="BD186" s="37"/>
      <c r="BE186" s="37"/>
      <c r="BF186" s="37"/>
      <c r="BG186" s="42"/>
      <c r="BH186" s="42"/>
      <c r="BI186" s="42"/>
      <c r="BJ186" s="42"/>
      <c r="BK186" s="44"/>
      <c r="BL186" s="44"/>
      <c r="BM186" s="44">
        <f>+BK186+BL186</f>
        <v>0</v>
      </c>
      <c r="BN186" s="47"/>
      <c r="BO186" s="47"/>
      <c r="BP186" s="45"/>
      <c r="BQ186" s="9"/>
      <c r="BR186" s="4"/>
      <c r="BS186" s="4"/>
      <c r="BT186" s="4"/>
      <c r="BU186" s="4"/>
      <c r="BV186" s="4"/>
      <c r="BW186" s="4"/>
      <c r="BX186" s="4" t="s">
        <v>854</v>
      </c>
      <c r="BY186" s="9">
        <f>+INT(BK186*faktorji!$B$5)</f>
        <v>0</v>
      </c>
      <c r="BZ186" s="9">
        <f>+INT(BL186*faktorji!$B$4)</f>
        <v>0</v>
      </c>
      <c r="CA186" s="4"/>
      <c r="CB186" s="4">
        <v>0</v>
      </c>
      <c r="CC186" s="4">
        <v>0</v>
      </c>
      <c r="CD186" s="4">
        <v>0</v>
      </c>
      <c r="CE186" s="4">
        <v>0</v>
      </c>
      <c r="CF186" s="4">
        <v>1</v>
      </c>
      <c r="CG186" s="4">
        <v>1</v>
      </c>
      <c r="CH186" s="4">
        <v>1</v>
      </c>
      <c r="CI186" s="9">
        <f>+BQ186*(CB186*faktorji!$B$21+'MOL_tabela rezultatov'!CF69*faktorji!$B$23+'MOL_tabela rezultatov'!CH69*faktorji!$B$26)+faktorji!$B$27*CG186</f>
        <v>18000</v>
      </c>
      <c r="CJ186" s="9">
        <f>+(BZ186*CF186*faktorji!$B$18)+(CG186*faktorji!$B$17*('MOL_tabela rezultatov'!BY69+'MOL_tabela rezultatov'!BZ69))+('MOL_tabela rezultatov'!CH69*faktorji!$B$16*'MOL_tabela rezultatov'!BY69)+('MOL_tabela rezultatov'!CB69*faktorji!$B$12*'MOL_tabela rezultatov'!BY69)</f>
        <v>14911.400000000001</v>
      </c>
      <c r="CK186" s="66">
        <f>+CI186/CJ186</f>
        <v>1.2071301152138632</v>
      </c>
      <c r="CL186" s="3" t="str">
        <f>CONCATENATE(IF(CB186&gt;0,"kotlovnica/toplotna postaja, ",""),IF(CF186&gt;0,"razsvetljava, ",""),IF(CG186&gt;0,"energetsko upravljanje, ",""),IF(CH186&gt;0,"manjši investicijski in organizacijski ukrepi, ",""))</f>
        <v xml:space="preserve">razsvetljava, energetsko upravljanje, manjši investicijski in organizacijski ukrepi, </v>
      </c>
      <c r="CM186" s="9">
        <f>+CJ186*0.9</f>
        <v>13420.260000000002</v>
      </c>
      <c r="CN186" s="9">
        <f>+CJ186*0.9</f>
        <v>13420.260000000002</v>
      </c>
      <c r="CO186" s="9">
        <f>+CJ186*0.9</f>
        <v>13420.260000000002</v>
      </c>
      <c r="CP186" s="69">
        <f>+IF(CI186-SUM(CM186:CO186)&lt;0,0,CI186-SUM(CM186:CO186))</f>
        <v>0</v>
      </c>
      <c r="CQ186" s="9">
        <f>+(BQ186*CE186*faktorji!$B$24)+(BQ186^0.5*CC186*4*4*0.66*faktorji!$B$22)+(BQ186^0.5*CD186*4*4*0.33*faktorji!$B$25)</f>
        <v>0</v>
      </c>
      <c r="CR186" s="3" t="str">
        <f t="shared" si="161"/>
        <v/>
      </c>
      <c r="CS186" s="9">
        <f>+BQ186*('MOL_tabela rezultatov'!CH186*faktorji!$B$26)+faktorji!$B$27*CG186</f>
        <v>18000</v>
      </c>
      <c r="CT186" s="3" t="str">
        <f t="shared" si="159"/>
        <v xml:space="preserve">energetsko upravljanje, manjši investicijski in organizacijski ukrepi, </v>
      </c>
      <c r="CU186" s="9">
        <f t="shared" si="127"/>
        <v>4500</v>
      </c>
      <c r="CV186" s="9">
        <f t="shared" ref="CV186:CX186" si="163">+CU186</f>
        <v>4500</v>
      </c>
      <c r="CW186" s="9">
        <f t="shared" si="163"/>
        <v>4500</v>
      </c>
      <c r="CX186" s="69">
        <f t="shared" si="163"/>
        <v>4500</v>
      </c>
    </row>
    <row r="187" spans="1:102" s="10" customFormat="1" ht="18" hidden="1" customHeight="1">
      <c r="A187" s="54" t="s">
        <v>1397</v>
      </c>
      <c r="B187" s="3" t="s">
        <v>97</v>
      </c>
      <c r="C187" s="56" t="s">
        <v>1369</v>
      </c>
      <c r="D187" s="56" t="s">
        <v>1370</v>
      </c>
      <c r="E187" s="51" t="s">
        <v>1167</v>
      </c>
      <c r="F187" s="51"/>
      <c r="G187" s="51">
        <v>3</v>
      </c>
      <c r="H187" s="51"/>
      <c r="I187" s="51"/>
      <c r="J187" s="51">
        <v>7</v>
      </c>
      <c r="K187" s="37" t="s">
        <v>1244</v>
      </c>
      <c r="L187" s="50"/>
      <c r="M187" s="4" t="s">
        <v>5</v>
      </c>
      <c r="N187" s="25">
        <v>5.26</v>
      </c>
      <c r="O187" s="25"/>
      <c r="P187" s="25"/>
      <c r="Q187" s="25"/>
      <c r="R187" s="25"/>
      <c r="S187" s="25"/>
      <c r="T187" s="25">
        <v>10.882</v>
      </c>
      <c r="U187" s="25">
        <v>16.141999999999999</v>
      </c>
      <c r="V187" s="30">
        <v>38.588652482269502</v>
      </c>
      <c r="W187" s="30">
        <v>18.652482269503547</v>
      </c>
      <c r="X187" s="31">
        <v>4.9800000000000004</v>
      </c>
      <c r="Y187" s="31"/>
      <c r="Z187" s="31"/>
      <c r="AA187" s="31"/>
      <c r="AB187" s="31"/>
      <c r="AC187" s="31">
        <v>10.67</v>
      </c>
      <c r="AD187" s="31"/>
      <c r="AE187" s="32">
        <v>17.659574468085108</v>
      </c>
      <c r="AF187" s="1">
        <v>40</v>
      </c>
      <c r="AG187" s="4"/>
      <c r="AH187" s="4">
        <v>1988</v>
      </c>
      <c r="AI187" s="6">
        <v>282</v>
      </c>
      <c r="AJ187" s="38">
        <v>13.9</v>
      </c>
      <c r="AK187" s="35" t="s">
        <v>92</v>
      </c>
      <c r="AL187" s="1" t="s">
        <v>95</v>
      </c>
      <c r="AM187" s="37"/>
      <c r="AN187" s="37"/>
      <c r="AO187" s="37"/>
      <c r="AP187" s="37"/>
      <c r="AQ187" s="37"/>
      <c r="AR187" s="37"/>
      <c r="AS187" s="37"/>
      <c r="AT187" s="37"/>
      <c r="AU187" s="37"/>
      <c r="AV187" s="37"/>
      <c r="AW187" s="37"/>
      <c r="AX187" s="37"/>
      <c r="AY187" s="37"/>
      <c r="AZ187" s="37"/>
      <c r="BA187" s="37"/>
      <c r="BB187" s="37"/>
      <c r="BC187" s="37"/>
      <c r="BD187" s="37"/>
      <c r="BE187" s="37"/>
      <c r="BF187" s="37"/>
      <c r="BG187" s="42">
        <v>32.5</v>
      </c>
      <c r="BH187" s="42"/>
      <c r="BI187" s="42"/>
      <c r="BJ187" s="42"/>
      <c r="BK187" s="44">
        <v>32.5</v>
      </c>
      <c r="BL187" s="44">
        <v>10.88</v>
      </c>
      <c r="BM187" s="44">
        <f>+BK187+BL187</f>
        <v>43.38</v>
      </c>
      <c r="BN187" s="47">
        <v>115.24822695035461</v>
      </c>
      <c r="BO187" s="47">
        <v>38.581560283687942</v>
      </c>
      <c r="BP187" s="45">
        <v>153.82978723404256</v>
      </c>
      <c r="BQ187" s="9">
        <v>282</v>
      </c>
      <c r="BR187" s="4">
        <v>240</v>
      </c>
      <c r="BS187" s="4">
        <v>2010</v>
      </c>
      <c r="BT187" s="4" t="s">
        <v>1087</v>
      </c>
      <c r="BU187" s="1" t="s">
        <v>1088</v>
      </c>
      <c r="BV187" s="4" t="s">
        <v>1089</v>
      </c>
      <c r="BW187" s="4" t="s">
        <v>1090</v>
      </c>
      <c r="BX187" s="4"/>
      <c r="BY187" s="9">
        <f>+INT(BK187*faktorji!$B$3)</f>
        <v>2112</v>
      </c>
      <c r="BZ187" s="9">
        <f>+INT(BL187*faktorji!$B$4)</f>
        <v>1795</v>
      </c>
      <c r="CA187" s="4"/>
      <c r="CB187" s="4">
        <v>0</v>
      </c>
      <c r="CC187" s="4">
        <v>0.75</v>
      </c>
      <c r="CD187" s="4">
        <v>0</v>
      </c>
      <c r="CE187" s="4">
        <v>1</v>
      </c>
      <c r="CF187" s="4">
        <v>0.5</v>
      </c>
      <c r="CG187" s="4">
        <v>1</v>
      </c>
      <c r="CH187" s="4">
        <v>1</v>
      </c>
      <c r="CI187" s="9">
        <f>+BQ187*(CB187*faktorji!$B$21+'MOL_tabela rezultatov'!CF30*faktorji!$B$23+'MOL_tabela rezultatov'!CH30*faktorji!$B$26)+faktorji!$B$27*CG187</f>
        <v>18423</v>
      </c>
      <c r="CJ187" s="9">
        <f>+(BZ187*CF187*faktorji!$B$18)+(CG187*faktorji!$B$17*('MOL_tabela rezultatov'!BY30+'MOL_tabela rezultatov'!BZ30))+('MOL_tabela rezultatov'!CH30*faktorji!$B$16*'MOL_tabela rezultatov'!BY30)+('MOL_tabela rezultatov'!CB30*faktorji!$B$12*'MOL_tabela rezultatov'!BY30)</f>
        <v>134.625</v>
      </c>
      <c r="CK187" s="66">
        <f>+CI187/CJ187</f>
        <v>136.84679665738162</v>
      </c>
      <c r="CL187" s="3" t="str">
        <f>CONCATENATE(IF(CB187&gt;0,"kotlovnica/toplotna postaja, ",""),IF(CF187&gt;0,"razsvetljava, ",""),IF(CG187&gt;0,"energetsko upravljanje, ",""),IF(CH187&gt;0,"manjši investicijski in organizacijski ukrepi, ",""))</f>
        <v xml:space="preserve">razsvetljava, energetsko upravljanje, manjši investicijski in organizacijski ukrepi, </v>
      </c>
      <c r="CM187" s="9">
        <f>+CJ187*0.9</f>
        <v>121.16250000000001</v>
      </c>
      <c r="CN187" s="9">
        <f>+CJ187*0.9</f>
        <v>121.16250000000001</v>
      </c>
      <c r="CO187" s="9">
        <f>+CJ187*0.9</f>
        <v>121.16250000000001</v>
      </c>
      <c r="CP187" s="69">
        <f>+IF(CI187-SUM(CM187:CO187)&lt;0,0,CI187-SUM(CM187:CO187))</f>
        <v>18059.512500000001</v>
      </c>
      <c r="CQ187" s="9">
        <f>+(BQ187*CE187*faktorji!$B$24)+(BQ187^0.5*CC187*4*4*0.66*faktorji!$B$22)+(BQ187^0.5*CD187*4*4*0.33*faktorji!$B$25)</f>
        <v>14949.959157805153</v>
      </c>
      <c r="CR187" s="3" t="str">
        <f t="shared" si="161"/>
        <v xml:space="preserve">izolacija ovoja, izolacija podstrešja, </v>
      </c>
      <c r="CS187" s="9">
        <f>+BQ187*('MOL_tabela rezultatov'!CH187*faktorji!$B$26)+faktorji!$B$27*CG187</f>
        <v>18423</v>
      </c>
      <c r="CT187" s="3" t="str">
        <f t="shared" si="159"/>
        <v xml:space="preserve">energetsko upravljanje, manjši investicijski in organizacijski ukrepi, </v>
      </c>
      <c r="CU187" s="9">
        <f t="shared" si="127"/>
        <v>4605.75</v>
      </c>
      <c r="CV187" s="9">
        <f t="shared" ref="CV187:CX187" si="164">+CU187</f>
        <v>4605.75</v>
      </c>
      <c r="CW187" s="9">
        <f t="shared" si="164"/>
        <v>4605.75</v>
      </c>
      <c r="CX187" s="69">
        <f t="shared" si="164"/>
        <v>4605.75</v>
      </c>
    </row>
    <row r="188" spans="1:102" s="10" customFormat="1" ht="18" hidden="1" customHeight="1">
      <c r="A188" s="53" t="s">
        <v>575</v>
      </c>
      <c r="B188" s="2" t="s">
        <v>576</v>
      </c>
      <c r="C188" s="57"/>
      <c r="D188" s="57"/>
      <c r="E188" s="51" t="s">
        <v>1175</v>
      </c>
      <c r="F188" s="51"/>
      <c r="G188" s="51">
        <v>3</v>
      </c>
      <c r="H188" s="51"/>
      <c r="I188" s="51"/>
      <c r="J188" s="51">
        <v>7</v>
      </c>
      <c r="K188" s="37" t="s">
        <v>1243</v>
      </c>
      <c r="L188" s="50"/>
      <c r="M188" s="4" t="s">
        <v>7</v>
      </c>
      <c r="N188" s="25"/>
      <c r="O188" s="25"/>
      <c r="P188" s="25">
        <v>700</v>
      </c>
      <c r="Q188" s="25"/>
      <c r="R188" s="25"/>
      <c r="S188" s="25"/>
      <c r="T188" s="25">
        <v>57.539000000000001</v>
      </c>
      <c r="U188" s="25">
        <v>757.53899999999999</v>
      </c>
      <c r="V188" s="30">
        <v>14.270585317460318</v>
      </c>
      <c r="W188" s="30">
        <v>173.61111111111111</v>
      </c>
      <c r="X188" s="31"/>
      <c r="Y188" s="31"/>
      <c r="Z188" s="31"/>
      <c r="AA188" s="31"/>
      <c r="AB188" s="31"/>
      <c r="AC188" s="31"/>
      <c r="AD188" s="31"/>
      <c r="AE188" s="32"/>
      <c r="AF188" s="16" t="s">
        <v>577</v>
      </c>
      <c r="AG188" s="3">
        <v>2007</v>
      </c>
      <c r="AH188" s="4"/>
      <c r="AI188" s="6">
        <v>4032</v>
      </c>
      <c r="AJ188" s="38">
        <v>100</v>
      </c>
      <c r="AK188" s="3"/>
      <c r="AL188" s="1" t="s">
        <v>578</v>
      </c>
      <c r="AM188" s="37"/>
      <c r="AN188" s="37"/>
      <c r="AO188" s="37"/>
      <c r="AP188" s="37"/>
      <c r="AQ188" s="37">
        <f>(48572*9.5)/1000</f>
        <v>461.43400000000003</v>
      </c>
      <c r="AR188" s="37">
        <f>(47483*9.5)/1000</f>
        <v>451.08850000000001</v>
      </c>
      <c r="AS188" s="37">
        <f>(49789*9.5)/1000</f>
        <v>472.99549999999999</v>
      </c>
      <c r="AT188" s="37">
        <f>(46606*9.5)/1000</f>
        <v>442.75700000000001</v>
      </c>
      <c r="AU188" s="37"/>
      <c r="AV188" s="37"/>
      <c r="AW188" s="37"/>
      <c r="AX188" s="37"/>
      <c r="AY188" s="37"/>
      <c r="AZ188" s="37"/>
      <c r="BA188" s="37"/>
      <c r="BB188" s="37"/>
      <c r="BC188" s="37"/>
      <c r="BD188" s="37"/>
      <c r="BE188" s="37"/>
      <c r="BF188" s="37"/>
      <c r="BG188" s="42"/>
      <c r="BH188" s="42">
        <v>457.06875000000002</v>
      </c>
      <c r="BI188" s="42"/>
      <c r="BJ188" s="42"/>
      <c r="BK188" s="44">
        <v>457.06875000000002</v>
      </c>
      <c r="BL188" s="44">
        <v>112.9725</v>
      </c>
      <c r="BM188" s="44">
        <f>+BK188+BL188</f>
        <v>570.04124999999999</v>
      </c>
      <c r="BN188" s="47">
        <v>91.031418044214305</v>
      </c>
      <c r="BO188" s="47">
        <v>22.5</v>
      </c>
      <c r="BP188" s="45">
        <v>113.53141804421431</v>
      </c>
      <c r="BQ188" s="9">
        <v>5021</v>
      </c>
      <c r="BR188" s="4" t="s">
        <v>1063</v>
      </c>
      <c r="BS188" s="4">
        <v>2007</v>
      </c>
      <c r="BT188" s="1" t="s">
        <v>1064</v>
      </c>
      <c r="BU188" s="4" t="s">
        <v>1065</v>
      </c>
      <c r="BV188" s="4" t="s">
        <v>1066</v>
      </c>
      <c r="BW188" s="1" t="s">
        <v>1067</v>
      </c>
      <c r="BX188" s="4"/>
      <c r="BY188" s="9">
        <f>+INT(BK188*faktorji!$B$6)</f>
        <v>57133</v>
      </c>
      <c r="BZ188" s="9">
        <f>+INT(BL188*faktorji!$B$4)</f>
        <v>18640</v>
      </c>
      <c r="CA188" s="4"/>
      <c r="CB188" s="4">
        <v>0</v>
      </c>
      <c r="CC188" s="4">
        <v>0.5</v>
      </c>
      <c r="CD188" s="4">
        <v>0</v>
      </c>
      <c r="CE188" s="4">
        <v>0</v>
      </c>
      <c r="CF188" s="4">
        <v>1</v>
      </c>
      <c r="CG188" s="4">
        <v>1</v>
      </c>
      <c r="CH188" s="4">
        <v>1</v>
      </c>
      <c r="CI188" s="9">
        <f>+BQ188*(CB188*faktorji!$B$21+'MOL_tabela rezultatov'!CF215*faktorji!$B$23+'MOL_tabela rezultatov'!CH215*faktorji!$B$26)+faktorji!$B$27*CG188</f>
        <v>100846.5</v>
      </c>
      <c r="CJ188" s="9">
        <f>+(BZ188*CF188*faktorji!$B$18)+(CG188*faktorji!$B$17*('MOL_tabela rezultatov'!BY215+'MOL_tabela rezultatov'!BZ215))+('MOL_tabela rezultatov'!CH215*faktorji!$B$16*'MOL_tabela rezultatov'!BY215)+('MOL_tabela rezultatov'!CB215*faktorji!$B$12*'MOL_tabela rezultatov'!BY215)</f>
        <v>35808.300000000003</v>
      </c>
      <c r="CK188" s="66">
        <f>+CI188/CJ188</f>
        <v>2.816288402409497</v>
      </c>
      <c r="CL188" s="3" t="str">
        <f>CONCATENATE(IF(CB188&gt;0,"kotlovnica/toplotna postaja, ",""),IF(CF188&gt;0,"razsvetljava, ",""),IF(CG188&gt;0,"energetsko upravljanje, ",""),IF(CH188&gt;0,"manjši investicijski in organizacijski ukrepi, ",""))</f>
        <v xml:space="preserve">razsvetljava, energetsko upravljanje, manjši investicijski in organizacijski ukrepi, </v>
      </c>
      <c r="CM188" s="9">
        <f>+CJ188*0.9</f>
        <v>32227.470000000005</v>
      </c>
      <c r="CN188" s="9">
        <f>+CJ188*0.9</f>
        <v>32227.470000000005</v>
      </c>
      <c r="CO188" s="9">
        <f>+CJ188*0.9</f>
        <v>32227.470000000005</v>
      </c>
      <c r="CP188" s="69">
        <f>+IF(CI188-SUM(CM188:CO188)&lt;0,0,CI188-SUM(CM188:CO188))</f>
        <v>4164.089999999982</v>
      </c>
      <c r="CQ188" s="9">
        <f>+(BQ188*CE188*faktorji!$B$24)+(BQ188^0.5*CC188*4*4*0.66*faktorji!$B$22)+(BQ188^0.5*CD188*4*4*0.33*faktorji!$B$25)</f>
        <v>26189.491926343282</v>
      </c>
      <c r="CR188" s="3" t="str">
        <f t="shared" si="161"/>
        <v xml:space="preserve">izolacija ovoja, </v>
      </c>
      <c r="CS188" s="9">
        <f>+BQ188*('MOL_tabela rezultatov'!CH188*faktorji!$B$26)+faktorji!$B$27*CG188</f>
        <v>25531.5</v>
      </c>
      <c r="CT188" s="3" t="str">
        <f t="shared" si="159"/>
        <v xml:space="preserve">energetsko upravljanje, manjši investicijski in organizacijski ukrepi, </v>
      </c>
      <c r="CU188" s="9">
        <f t="shared" si="127"/>
        <v>6382.875</v>
      </c>
      <c r="CV188" s="9">
        <f t="shared" ref="CV188:CX188" si="165">+CU188</f>
        <v>6382.875</v>
      </c>
      <c r="CW188" s="9">
        <f t="shared" si="165"/>
        <v>6382.875</v>
      </c>
      <c r="CX188" s="69">
        <f t="shared" si="165"/>
        <v>6382.875</v>
      </c>
    </row>
    <row r="189" spans="1:102" s="10" customFormat="1" ht="18" hidden="1" customHeight="1">
      <c r="A189" s="54" t="s">
        <v>304</v>
      </c>
      <c r="B189" s="3" t="s">
        <v>310</v>
      </c>
      <c r="C189" s="56"/>
      <c r="D189" s="56"/>
      <c r="E189" s="51" t="s">
        <v>1174</v>
      </c>
      <c r="F189" s="51"/>
      <c r="G189" s="51">
        <v>4</v>
      </c>
      <c r="H189" s="51"/>
      <c r="I189" s="51"/>
      <c r="J189" s="51">
        <v>7</v>
      </c>
      <c r="K189" s="37" t="s">
        <v>1244</v>
      </c>
      <c r="L189" s="50"/>
      <c r="M189" s="4" t="s">
        <v>6</v>
      </c>
      <c r="N189" s="25"/>
      <c r="O189" s="25">
        <v>34.276000000000003</v>
      </c>
      <c r="P189" s="25"/>
      <c r="Q189" s="25"/>
      <c r="R189" s="25"/>
      <c r="S189" s="25"/>
      <c r="T189" s="25">
        <v>1.3</v>
      </c>
      <c r="U189" s="25"/>
      <c r="V189" s="30"/>
      <c r="W189" s="30"/>
      <c r="X189" s="31"/>
      <c r="Y189" s="31"/>
      <c r="Z189" s="31"/>
      <c r="AA189" s="31"/>
      <c r="AB189" s="31"/>
      <c r="AC189" s="31"/>
      <c r="AD189" s="31"/>
      <c r="AE189" s="32"/>
      <c r="AF189" s="1"/>
      <c r="AG189" s="4"/>
      <c r="AH189" s="4"/>
      <c r="AI189" s="6">
        <v>147</v>
      </c>
      <c r="AJ189" s="38"/>
      <c r="AK189" s="3"/>
      <c r="AL189" s="1" t="s">
        <v>309</v>
      </c>
      <c r="AM189" s="37"/>
      <c r="AN189" s="37"/>
      <c r="AO189" s="37"/>
      <c r="AP189" s="37"/>
      <c r="AQ189" s="37"/>
      <c r="AR189" s="37"/>
      <c r="AS189" s="37"/>
      <c r="AT189" s="37"/>
      <c r="AU189" s="37"/>
      <c r="AV189" s="37"/>
      <c r="AW189" s="37"/>
      <c r="AX189" s="37"/>
      <c r="AY189" s="37"/>
      <c r="AZ189" s="37"/>
      <c r="BA189" s="37"/>
      <c r="BB189" s="37"/>
      <c r="BC189" s="37"/>
      <c r="BD189" s="37"/>
      <c r="BE189" s="37"/>
      <c r="BF189" s="37"/>
      <c r="BG189" s="42"/>
      <c r="BH189" s="42">
        <v>33.92</v>
      </c>
      <c r="BI189" s="42"/>
      <c r="BJ189" s="42"/>
      <c r="BK189" s="44">
        <v>33.92</v>
      </c>
      <c r="BL189" s="44">
        <v>1.3</v>
      </c>
      <c r="BM189" s="44">
        <f>+BK189+BL189</f>
        <v>35.22</v>
      </c>
      <c r="BN189" s="47">
        <v>230.74829931972789</v>
      </c>
      <c r="BO189" s="47">
        <v>8.8435374149659864</v>
      </c>
      <c r="BP189" s="45">
        <v>239.59183673469389</v>
      </c>
      <c r="BQ189" s="6">
        <v>147</v>
      </c>
      <c r="BR189" s="4"/>
      <c r="BS189" s="4"/>
      <c r="BT189" s="4"/>
      <c r="BU189" s="4"/>
      <c r="BV189" s="4"/>
      <c r="BW189" s="4"/>
      <c r="BX189" s="4"/>
      <c r="BY189" s="9">
        <f>+INT(BK189*faktorji!$B$5)</f>
        <v>3222</v>
      </c>
      <c r="BZ189" s="9">
        <f>+INT(BL189*faktorji!$B$4)</f>
        <v>214</v>
      </c>
      <c r="CA189" s="4"/>
      <c r="CB189" s="4">
        <v>0</v>
      </c>
      <c r="CC189" s="4">
        <v>0</v>
      </c>
      <c r="CD189" s="4">
        <v>0</v>
      </c>
      <c r="CE189" s="4">
        <v>0</v>
      </c>
      <c r="CF189" s="4">
        <v>1</v>
      </c>
      <c r="CG189" s="4">
        <v>1</v>
      </c>
      <c r="CH189" s="4">
        <v>1</v>
      </c>
      <c r="CI189" s="9">
        <f>+BQ189*(CB189*faktorji!$B$21+'MOL_tabela rezultatov'!CF122*faktorji!$B$23+'MOL_tabela rezultatov'!CH122*faktorji!$B$26)+faktorji!$B$27*CG189</f>
        <v>20425.5</v>
      </c>
      <c r="CJ189" s="9">
        <f>+(BZ189*CF189*faktorji!$B$18)+(CG189*faktorji!$B$17*('MOL_tabela rezultatov'!BY122+'MOL_tabela rezultatov'!BZ122))+('MOL_tabela rezultatov'!CH122*faktorji!$B$16*'MOL_tabela rezultatov'!BY122)+('MOL_tabela rezultatov'!CB122*faktorji!$B$12*'MOL_tabela rezultatov'!BY122)</f>
        <v>6603.4</v>
      </c>
      <c r="CK189" s="66">
        <f>+CI189/CJ189</f>
        <v>3.0931792712844901</v>
      </c>
      <c r="CL189" s="3" t="str">
        <f>CONCATENATE(IF(CB189&gt;0,"kotlovnica/toplotna postaja, ",""),IF(CF189&gt;0,"razsvetljava, ",""),IF(CG189&gt;0,"energetsko upravljanje, ",""),IF(CH189&gt;0,"manjši investicijski in organizacijski ukrepi, ",""))</f>
        <v xml:space="preserve">razsvetljava, energetsko upravljanje, manjši investicijski in organizacijski ukrepi, </v>
      </c>
      <c r="CM189" s="9">
        <f>+CJ189*0.9</f>
        <v>5943.0599999999995</v>
      </c>
      <c r="CN189" s="9">
        <f>+CJ189*0.9</f>
        <v>5943.0599999999995</v>
      </c>
      <c r="CO189" s="9">
        <f>+CJ189*0.9</f>
        <v>5943.0599999999995</v>
      </c>
      <c r="CP189" s="69">
        <f>+IF(CI189-SUM(CM189:CO189)&lt;0,0,CI189-SUM(CM189:CO189))</f>
        <v>2596.3199999999997</v>
      </c>
      <c r="CQ189" s="9">
        <f>+(BQ189*CE189*faktorji!$B$24)+(BQ189^0.5*CC189*4*4*0.66*faktorji!$B$22)+(BQ189^0.5*CD189*4*4*0.33*faktorji!$B$25)</f>
        <v>0</v>
      </c>
      <c r="CR189" s="3" t="str">
        <f t="shared" si="161"/>
        <v/>
      </c>
      <c r="CS189" s="9">
        <f>+BQ189*('MOL_tabela rezultatov'!CH189*faktorji!$B$26)+faktorji!$B$27*CG189</f>
        <v>18220.5</v>
      </c>
      <c r="CT189" s="3" t="str">
        <f t="shared" si="159"/>
        <v xml:space="preserve">energetsko upravljanje, manjši investicijski in organizacijski ukrepi, </v>
      </c>
      <c r="CU189" s="9">
        <f t="shared" si="127"/>
        <v>4555.125</v>
      </c>
      <c r="CV189" s="9">
        <f t="shared" ref="CV189:CX189" si="166">+CU189</f>
        <v>4555.125</v>
      </c>
      <c r="CW189" s="9">
        <f t="shared" si="166"/>
        <v>4555.125</v>
      </c>
      <c r="CX189" s="69">
        <f t="shared" si="166"/>
        <v>4555.125</v>
      </c>
    </row>
    <row r="190" spans="1:102" s="10" customFormat="1" ht="18" customHeight="1">
      <c r="A190" s="117" t="s">
        <v>750</v>
      </c>
      <c r="B190" s="146" t="s">
        <v>751</v>
      </c>
      <c r="C190" s="57"/>
      <c r="D190" s="57"/>
      <c r="E190" s="51" t="s">
        <v>1176</v>
      </c>
      <c r="F190" s="51"/>
      <c r="G190" s="51">
        <v>2</v>
      </c>
      <c r="H190" s="51" t="s">
        <v>1257</v>
      </c>
      <c r="I190" s="51"/>
      <c r="J190" s="51">
        <v>2</v>
      </c>
      <c r="K190" s="37" t="s">
        <v>1242</v>
      </c>
      <c r="L190" s="50"/>
      <c r="M190" s="4" t="s">
        <v>5</v>
      </c>
      <c r="N190" s="28">
        <v>292</v>
      </c>
      <c r="O190" s="25"/>
      <c r="P190" s="25"/>
      <c r="Q190" s="25"/>
      <c r="R190" s="25"/>
      <c r="S190" s="25"/>
      <c r="T190" s="25">
        <v>34.951000000000001</v>
      </c>
      <c r="U190" s="25">
        <v>326.95100000000002</v>
      </c>
      <c r="V190" s="30">
        <v>16.659199237368924</v>
      </c>
      <c r="W190" s="30">
        <v>139.18017159199238</v>
      </c>
      <c r="X190" s="31"/>
      <c r="Y190" s="31"/>
      <c r="Z190" s="31"/>
      <c r="AA190" s="31"/>
      <c r="AB190" s="31"/>
      <c r="AC190" s="31"/>
      <c r="AD190" s="31"/>
      <c r="AE190" s="32"/>
      <c r="AF190" s="16" t="s">
        <v>468</v>
      </c>
      <c r="AG190" s="3"/>
      <c r="AH190" s="4"/>
      <c r="AI190" s="6">
        <v>2098</v>
      </c>
      <c r="AJ190" s="38">
        <v>100</v>
      </c>
      <c r="AK190" s="3"/>
      <c r="AL190" s="1" t="s">
        <v>752</v>
      </c>
      <c r="AM190" s="39">
        <v>329.2</v>
      </c>
      <c r="AN190" s="39">
        <v>367.8</v>
      </c>
      <c r="AO190" s="39">
        <v>343.1</v>
      </c>
      <c r="AP190" s="39">
        <v>301</v>
      </c>
      <c r="AQ190" s="37"/>
      <c r="AR190" s="37"/>
      <c r="AS190" s="37"/>
      <c r="AT190" s="37"/>
      <c r="AU190" s="37"/>
      <c r="AV190" s="37"/>
      <c r="AW190" s="37"/>
      <c r="AX190" s="37"/>
      <c r="AY190" s="37"/>
      <c r="AZ190" s="37"/>
      <c r="BA190" s="37"/>
      <c r="BB190" s="37"/>
      <c r="BC190" s="37"/>
      <c r="BD190" s="37"/>
      <c r="BE190" s="37"/>
      <c r="BF190" s="37"/>
      <c r="BG190" s="42">
        <v>335.27499999999998</v>
      </c>
      <c r="BH190" s="42"/>
      <c r="BI190" s="42"/>
      <c r="BJ190" s="42"/>
      <c r="BK190" s="44">
        <v>335.27499999999998</v>
      </c>
      <c r="BL190" s="44">
        <v>34.950000000000003</v>
      </c>
      <c r="BM190" s="44">
        <f>+BK190+BL190</f>
        <v>370.22499999999997</v>
      </c>
      <c r="BN190" s="47">
        <v>214.09642401021711</v>
      </c>
      <c r="BO190" s="47">
        <v>22.31800766283525</v>
      </c>
      <c r="BP190" s="45">
        <v>236.41443167305232</v>
      </c>
      <c r="BQ190" s="9">
        <v>1566</v>
      </c>
      <c r="BR190" s="4">
        <v>546</v>
      </c>
      <c r="BS190" s="4">
        <v>1972</v>
      </c>
      <c r="BT190" s="4" t="s">
        <v>944</v>
      </c>
      <c r="BU190" s="4" t="s">
        <v>136</v>
      </c>
      <c r="BV190" s="1" t="s">
        <v>939</v>
      </c>
      <c r="BW190" s="4"/>
      <c r="BX190" s="4"/>
      <c r="BY190" s="9">
        <f>+INT(BK190*faktorji!$B$3)</f>
        <v>21792</v>
      </c>
      <c r="BZ190" s="9">
        <f>+INT(BL190*faktorji!$B$4)</f>
        <v>5766</v>
      </c>
      <c r="CA190" s="3" t="s">
        <v>1310</v>
      </c>
      <c r="CB190" s="4">
        <v>1</v>
      </c>
      <c r="CC190" s="4">
        <v>0</v>
      </c>
      <c r="CD190" s="4">
        <v>0</v>
      </c>
      <c r="CE190" s="4">
        <v>0</v>
      </c>
      <c r="CF190" s="4">
        <v>1</v>
      </c>
      <c r="CG190" s="4">
        <v>1</v>
      </c>
      <c r="CH190" s="4">
        <v>1</v>
      </c>
      <c r="CI190" s="9" t="e">
        <f>+BQ190*(CB190*faktorji!$B$21+'MOL_tabela rezultatov'!#REF!*faktorji!$B$23+'MOL_tabela rezultatov'!#REF!*faktorji!$B$26)+faktorji!$B$27*CG190</f>
        <v>#REF!</v>
      </c>
      <c r="CJ190" s="9" t="e">
        <f>+(BZ190*CF190*faktorji!$B$18)+(CG190*faktorji!$B$17*('MOL_tabela rezultatov'!#REF!+'MOL_tabela rezultatov'!#REF!))+('MOL_tabela rezultatov'!#REF!*faktorji!$B$16*'MOL_tabela rezultatov'!#REF!)+('MOL_tabela rezultatov'!#REF!*faktorji!$B$12*'MOL_tabela rezultatov'!#REF!)</f>
        <v>#REF!</v>
      </c>
      <c r="CK190" s="66" t="e">
        <f>+CI190/CJ190</f>
        <v>#REF!</v>
      </c>
      <c r="CL190" s="3" t="str">
        <f>CONCATENATE(IF(CB190&gt;0,"kotlovnica/toplotna postaja, ",""),IF(CF190&gt;0,"razsvetljava, ",""),IF(CG190&gt;0,"energetsko upravljanje, ",""),IF(CH190&gt;0,"manjši investicijski in organizacijski ukrepi, ",""))</f>
        <v xml:space="preserve">kotlovnica/toplotna postaja, razsvetljava, energetsko upravljanje, manjši investicijski in organizacijski ukrepi, </v>
      </c>
      <c r="CM190" s="9" t="e">
        <f>+CJ190*0.9</f>
        <v>#REF!</v>
      </c>
      <c r="CN190" s="9" t="e">
        <f>+CJ190*0.9</f>
        <v>#REF!</v>
      </c>
      <c r="CO190" s="9" t="e">
        <f>+CJ190*0.9</f>
        <v>#REF!</v>
      </c>
      <c r="CP190" s="69" t="e">
        <f>+IF(CI190-SUM(CM190:CO190)&lt;0,0,CI190-SUM(CM190:CO190))</f>
        <v>#REF!</v>
      </c>
      <c r="CQ190" s="9">
        <f>+(BQ190*CE190*faktorji!$B$24)+(BQ190^0.5*CC190*4*4*0.66*faktorji!$B$22)+(BQ190^0.5*CD190*4*4*0.33*faktorji!$B$25)</f>
        <v>0</v>
      </c>
      <c r="CR190" s="3" t="str">
        <f t="shared" si="161"/>
        <v/>
      </c>
      <c r="CS190" s="9">
        <f>+BQ190*('MOL_tabela rezultatov'!CH190*faktorji!$B$26)+faktorji!$B$27*CG190</f>
        <v>20349</v>
      </c>
      <c r="CT190" s="3" t="str">
        <f t="shared" si="159"/>
        <v xml:space="preserve">energetsko upravljanje, manjši investicijski in organizacijski ukrepi, </v>
      </c>
      <c r="CU190" s="9">
        <f t="shared" si="127"/>
        <v>5087.25</v>
      </c>
      <c r="CV190" s="9">
        <f t="shared" ref="CV190:CX190" si="167">+CU190</f>
        <v>5087.25</v>
      </c>
      <c r="CW190" s="9">
        <f t="shared" si="167"/>
        <v>5087.25</v>
      </c>
      <c r="CX190" s="69">
        <f t="shared" si="167"/>
        <v>5087.25</v>
      </c>
    </row>
    <row r="191" spans="1:102" s="10" customFormat="1" ht="18" hidden="1" customHeight="1">
      <c r="A191" s="53" t="s">
        <v>739</v>
      </c>
      <c r="B191" s="2" t="s">
        <v>740</v>
      </c>
      <c r="C191" s="57"/>
      <c r="D191" s="57"/>
      <c r="E191" s="51" t="s">
        <v>1176</v>
      </c>
      <c r="F191" s="51"/>
      <c r="G191" s="51">
        <v>2</v>
      </c>
      <c r="H191" s="71" t="s">
        <v>1255</v>
      </c>
      <c r="I191" s="71"/>
      <c r="J191" s="51">
        <v>1</v>
      </c>
      <c r="K191" s="37" t="s">
        <v>1243</v>
      </c>
      <c r="L191" s="50"/>
      <c r="M191" s="110" t="s">
        <v>5</v>
      </c>
      <c r="N191" s="28">
        <v>28</v>
      </c>
      <c r="O191" s="25"/>
      <c r="P191" s="25"/>
      <c r="Q191" s="25"/>
      <c r="R191" s="25"/>
      <c r="S191" s="25"/>
      <c r="T191" s="25">
        <v>5.6310000000000002</v>
      </c>
      <c r="U191" s="25">
        <v>33.631</v>
      </c>
      <c r="V191" s="30">
        <v>8.4676691729323306</v>
      </c>
      <c r="W191" s="30">
        <v>42.10526315789474</v>
      </c>
      <c r="X191" s="31"/>
      <c r="Y191" s="31"/>
      <c r="Z191" s="31"/>
      <c r="AA191" s="31"/>
      <c r="AB191" s="31"/>
      <c r="AC191" s="31"/>
      <c r="AD191" s="31"/>
      <c r="AE191" s="32"/>
      <c r="AF191" s="16"/>
      <c r="AG191" s="3"/>
      <c r="AH191" s="4"/>
      <c r="AI191" s="6">
        <v>665</v>
      </c>
      <c r="AJ191" s="38">
        <v>100</v>
      </c>
      <c r="AK191" s="3"/>
      <c r="AL191" s="1" t="s">
        <v>741</v>
      </c>
      <c r="AM191" s="39">
        <f>39.93+16.9</f>
        <v>56.83</v>
      </c>
      <c r="AN191" s="39">
        <f>41.12+12.6</f>
        <v>53.72</v>
      </c>
      <c r="AO191" s="39">
        <f>36.11+10.6</f>
        <v>46.71</v>
      </c>
      <c r="AP191" s="39">
        <f>37.01+9.4</f>
        <v>46.41</v>
      </c>
      <c r="AQ191" s="37"/>
      <c r="AR191" s="37"/>
      <c r="AS191" s="37"/>
      <c r="AT191" s="37"/>
      <c r="AU191" s="37"/>
      <c r="AV191" s="37"/>
      <c r="AW191" s="37"/>
      <c r="AX191" s="37"/>
      <c r="AY191" s="37"/>
      <c r="AZ191" s="37"/>
      <c r="BA191" s="37"/>
      <c r="BB191" s="37"/>
      <c r="BC191" s="37">
        <v>14.86</v>
      </c>
      <c r="BD191" s="37">
        <v>13.12</v>
      </c>
      <c r="BE191" s="37">
        <v>10.67</v>
      </c>
      <c r="BF191" s="37">
        <v>10.81</v>
      </c>
      <c r="BG191" s="42">
        <v>50.917499999999997</v>
      </c>
      <c r="BH191" s="42"/>
      <c r="BI191" s="42"/>
      <c r="BJ191" s="42"/>
      <c r="BK191" s="107">
        <v>44</v>
      </c>
      <c r="BL191" s="107">
        <v>11</v>
      </c>
      <c r="BM191" s="107">
        <f>+BK191+BL191</f>
        <v>55</v>
      </c>
      <c r="BN191" s="108">
        <f>+BK191*1000/BQ191</f>
        <v>117.64705882352941</v>
      </c>
      <c r="BO191" s="108">
        <f>+BL191*1000/BQ191</f>
        <v>29.411764705882351</v>
      </c>
      <c r="BP191" s="109">
        <f>+BO191+BN191</f>
        <v>147.05882352941177</v>
      </c>
      <c r="BQ191" s="106">
        <v>374</v>
      </c>
      <c r="BR191" s="110" t="s">
        <v>1416</v>
      </c>
      <c r="BS191" s="110">
        <v>2008</v>
      </c>
      <c r="BT191" s="110" t="s">
        <v>872</v>
      </c>
      <c r="BU191" s="4"/>
      <c r="BV191" s="4" t="s">
        <v>921</v>
      </c>
      <c r="BW191" s="4"/>
      <c r="BX191" s="4"/>
      <c r="BY191" s="106">
        <v>2630</v>
      </c>
      <c r="BZ191" s="106">
        <v>1910</v>
      </c>
      <c r="CA191" s="116" t="s">
        <v>1321</v>
      </c>
      <c r="CB191" s="4">
        <v>0</v>
      </c>
      <c r="CC191" s="4">
        <v>1</v>
      </c>
      <c r="CD191" s="4">
        <v>1</v>
      </c>
      <c r="CE191" s="4">
        <v>0</v>
      </c>
      <c r="CF191" s="4">
        <v>1</v>
      </c>
      <c r="CG191" s="4">
        <v>1</v>
      </c>
      <c r="CH191" s="4">
        <v>1</v>
      </c>
      <c r="CI191" s="106">
        <v>23300</v>
      </c>
      <c r="CJ191" s="106">
        <f>+(BZ191*CF191*faktorji!$B$18)+(CG191*faktorji!$B$17*('MOL_tabela rezultatov'!BY271+'MOL_tabela rezultatov'!BZ271))+('MOL_tabela rezultatov'!CH271*faktorji!$B$16*'MOL_tabela rezultatov'!BY271)+('MOL_tabela rezultatov'!CB271*faktorji!$B$12*'MOL_tabela rezultatov'!BY271)</f>
        <v>670</v>
      </c>
      <c r="CK191" s="115">
        <f>+CI191/CJ191</f>
        <v>34.776119402985074</v>
      </c>
      <c r="CL191" s="3" t="str">
        <f>CONCATENATE(IF(CB191&gt;0,"kotlovnica/toplotna postaja, ",""),IF(CF191&gt;0,"razsvetljava, ",""),IF(CG191&gt;0,"energetsko upravljanje, ",""),IF(CH191&gt;0,"manjši investicijski in organizacijski ukrepi, ",""))</f>
        <v xml:space="preserve">razsvetljava, energetsko upravljanje, manjši investicijski in organizacijski ukrepi, </v>
      </c>
      <c r="CM191" s="9">
        <f>+CJ191*0.9</f>
        <v>603</v>
      </c>
      <c r="CN191" s="9">
        <f>+CJ191*0.9</f>
        <v>603</v>
      </c>
      <c r="CO191" s="9">
        <f>+CJ191*0.9</f>
        <v>603</v>
      </c>
      <c r="CP191" s="69">
        <f>+IF(CI191-SUM(CM191:CO191)&lt;0,0,CI191-SUM(CM191:CO191))</f>
        <v>21491</v>
      </c>
      <c r="CQ191" s="9">
        <f>+(BQ191*CE191*faktorji!$B$24)+(BQ191^0.5*CC191*4*4*0.66*faktorji!$B$22)+(BQ191^0.5*CD191*4*4*0.33*faktorji!$B$25)</f>
        <v>39823.032724291603</v>
      </c>
      <c r="CR191" s="3" t="str">
        <f t="shared" si="161"/>
        <v xml:space="preserve">izolacija ovoja, stavbno pohištvo, </v>
      </c>
      <c r="CS191" s="9">
        <f>+BQ191*('MOL_tabela rezultatov'!CH191*faktorji!$B$26)+faktorji!$B$27*CG191</f>
        <v>18561</v>
      </c>
      <c r="CT191" s="3" t="str">
        <f t="shared" si="159"/>
        <v xml:space="preserve">energetsko upravljanje, manjši investicijski in organizacijski ukrepi, </v>
      </c>
      <c r="CU191" s="9">
        <f t="shared" si="127"/>
        <v>4640.25</v>
      </c>
      <c r="CV191" s="9">
        <f t="shared" ref="CV191:CX191" si="168">+CU191</f>
        <v>4640.25</v>
      </c>
      <c r="CW191" s="9">
        <f t="shared" si="168"/>
        <v>4640.25</v>
      </c>
      <c r="CX191" s="69">
        <f t="shared" si="168"/>
        <v>4640.25</v>
      </c>
    </row>
    <row r="192" spans="1:102" s="10" customFormat="1" ht="18" hidden="1" customHeight="1">
      <c r="A192" s="54" t="s">
        <v>1166</v>
      </c>
      <c r="B192" s="3" t="s">
        <v>852</v>
      </c>
      <c r="C192" s="56"/>
      <c r="D192" s="56"/>
      <c r="E192" s="51" t="s">
        <v>1168</v>
      </c>
      <c r="F192" s="51" t="s">
        <v>1255</v>
      </c>
      <c r="G192" s="51">
        <v>2</v>
      </c>
      <c r="H192" s="51"/>
      <c r="I192" s="51"/>
      <c r="J192" s="51">
        <v>4</v>
      </c>
      <c r="K192" s="37" t="s">
        <v>1244</v>
      </c>
      <c r="L192" s="50"/>
      <c r="M192" s="4" t="s">
        <v>6</v>
      </c>
      <c r="N192" s="25"/>
      <c r="O192" s="25">
        <v>32.5</v>
      </c>
      <c r="P192" s="25"/>
      <c r="Q192" s="25"/>
      <c r="R192" s="25"/>
      <c r="S192" s="25"/>
      <c r="T192" s="25">
        <v>46.75</v>
      </c>
      <c r="U192" s="25">
        <v>79.25</v>
      </c>
      <c r="V192" s="30">
        <v>237.12908952574182</v>
      </c>
      <c r="W192" s="30">
        <v>164.8490996703018</v>
      </c>
      <c r="X192" s="31"/>
      <c r="Y192" s="31">
        <v>33.36</v>
      </c>
      <c r="Z192" s="31"/>
      <c r="AA192" s="31"/>
      <c r="AB192" s="31"/>
      <c r="AC192" s="31">
        <v>48.36</v>
      </c>
      <c r="AD192" s="31"/>
      <c r="AE192" s="32">
        <v>169.21126046157747</v>
      </c>
      <c r="AF192" s="1"/>
      <c r="AG192" s="4"/>
      <c r="AH192" s="4" t="s">
        <v>29</v>
      </c>
      <c r="AI192" s="6">
        <v>197.15</v>
      </c>
      <c r="AJ192" s="38">
        <v>100</v>
      </c>
      <c r="AK192" s="3" t="s">
        <v>25</v>
      </c>
      <c r="AL192" s="1" t="s">
        <v>26</v>
      </c>
      <c r="AM192" s="37"/>
      <c r="AN192" s="37"/>
      <c r="AO192" s="37"/>
      <c r="AP192" s="37"/>
      <c r="AQ192" s="37"/>
      <c r="AR192" s="37"/>
      <c r="AS192" s="37"/>
      <c r="AT192" s="37"/>
      <c r="AU192" s="37"/>
      <c r="AV192" s="37"/>
      <c r="AW192" s="37"/>
      <c r="AX192" s="37"/>
      <c r="AY192" s="37"/>
      <c r="AZ192" s="37"/>
      <c r="BA192" s="37"/>
      <c r="BB192" s="37"/>
      <c r="BC192" s="37"/>
      <c r="BD192" s="37"/>
      <c r="BE192" s="37"/>
      <c r="BF192" s="37"/>
      <c r="BG192" s="42">
        <v>21.9</v>
      </c>
      <c r="BH192" s="42"/>
      <c r="BI192" s="42"/>
      <c r="BJ192" s="42"/>
      <c r="BK192" s="44">
        <v>21.9</v>
      </c>
      <c r="BL192" s="44">
        <v>46.75</v>
      </c>
      <c r="BM192" s="44">
        <f>+BK192+BL192</f>
        <v>68.650000000000006</v>
      </c>
      <c r="BN192" s="47">
        <v>111.08293177783413</v>
      </c>
      <c r="BO192" s="47">
        <v>237.12908952574182</v>
      </c>
      <c r="BP192" s="45">
        <v>348.21202130357597</v>
      </c>
      <c r="BQ192" s="9">
        <v>197.15</v>
      </c>
      <c r="BR192" s="4"/>
      <c r="BS192" s="4"/>
      <c r="BT192" s="4"/>
      <c r="BU192" s="4"/>
      <c r="BV192" s="4"/>
      <c r="BW192" s="4"/>
      <c r="BX192" s="4"/>
      <c r="BY192" s="9">
        <f>+INT(BK192*faktorji!$B$5)</f>
        <v>2080</v>
      </c>
      <c r="BZ192" s="9">
        <f>+INT(BL192*faktorji!$B$4)</f>
        <v>7713</v>
      </c>
      <c r="CA192" s="3" t="s">
        <v>1313</v>
      </c>
      <c r="CB192" s="4">
        <v>0</v>
      </c>
      <c r="CC192" s="4">
        <v>0</v>
      </c>
      <c r="CD192" s="4">
        <v>0</v>
      </c>
      <c r="CE192" s="4">
        <v>0</v>
      </c>
      <c r="CF192" s="4">
        <v>0</v>
      </c>
      <c r="CG192" s="4">
        <v>1</v>
      </c>
      <c r="CH192" s="4">
        <v>1</v>
      </c>
      <c r="CI192" s="9">
        <f>+BQ192*(CB192*faktorji!$B$21+'MOL_tabela rezultatov'!CF18*faktorji!$B$23+'MOL_tabela rezultatov'!CH18*faktorji!$B$26)+faktorji!$B$27*CG192</f>
        <v>18295.724999999999</v>
      </c>
      <c r="CJ192" s="9">
        <f>+(BZ192*CF192*faktorji!$B$18)+(CG192*faktorji!$B$17*('MOL_tabela rezultatov'!BY18+'MOL_tabela rezultatov'!BZ18))+('MOL_tabela rezultatov'!CH18*faktorji!$B$16*'MOL_tabela rezultatov'!BY18)+('MOL_tabela rezultatov'!CB18*faktorji!$B$12*'MOL_tabela rezultatov'!BY18)</f>
        <v>84.4</v>
      </c>
      <c r="CK192" s="66">
        <f>+CI192/CJ192</f>
        <v>216.77399289099523</v>
      </c>
      <c r="CL192" s="3" t="str">
        <f>CONCATENATE(IF(CB192&gt;0,"kotlovnica/toplotna postaja, ",""),IF(CF192&gt;0,"razsvetljava, ",""),IF(CG192&gt;0,"energetsko upravljanje, ",""),IF(CH192&gt;0,"manjši investicijski in organizacijski ukrepi, ",""))</f>
        <v xml:space="preserve">energetsko upravljanje, manjši investicijski in organizacijski ukrepi, </v>
      </c>
      <c r="CM192" s="9">
        <f>+CJ192*0.9</f>
        <v>75.960000000000008</v>
      </c>
      <c r="CN192" s="9">
        <f>+CJ192*0.9</f>
        <v>75.960000000000008</v>
      </c>
      <c r="CO192" s="9">
        <f>+CJ192*0.9</f>
        <v>75.960000000000008</v>
      </c>
      <c r="CP192" s="69">
        <f>+IF(CI192-SUM(CM192:CO192)&lt;0,0,CI192-SUM(CM192:CO192))</f>
        <v>18067.844999999998</v>
      </c>
      <c r="CQ192" s="9">
        <f>+(BQ192*CE192*faktorji!$B$24)+(BQ192^0.5*CC192*4*4*0.66*faktorji!$B$22)+(BQ192^0.5*CD192*4*4*0.33*faktorji!$B$25)</f>
        <v>0</v>
      </c>
      <c r="CR192" s="3" t="str">
        <f t="shared" si="161"/>
        <v/>
      </c>
      <c r="CS192" s="9">
        <f>+BQ192*('MOL_tabela rezultatov'!CH192*faktorji!$B$26)+faktorji!$B$27*CG192</f>
        <v>18295.724999999999</v>
      </c>
      <c r="CT192" s="3" t="str">
        <f t="shared" si="159"/>
        <v xml:space="preserve">energetsko upravljanje, manjši investicijski in organizacijski ukrepi, </v>
      </c>
      <c r="CU192" s="9">
        <f t="shared" si="127"/>
        <v>4573.9312499999996</v>
      </c>
      <c r="CV192" s="9">
        <f t="shared" ref="CV192:CX192" si="169">+CU192</f>
        <v>4573.9312499999996</v>
      </c>
      <c r="CW192" s="9">
        <f t="shared" si="169"/>
        <v>4573.9312499999996</v>
      </c>
      <c r="CX192" s="69">
        <f t="shared" si="169"/>
        <v>4573.9312499999996</v>
      </c>
    </row>
    <row r="193" spans="1:102" s="10" customFormat="1" ht="18" hidden="1" customHeight="1">
      <c r="A193" s="53" t="s">
        <v>657</v>
      </c>
      <c r="B193" s="2" t="s">
        <v>658</v>
      </c>
      <c r="C193" s="57"/>
      <c r="D193" s="57"/>
      <c r="E193" s="51" t="s">
        <v>1176</v>
      </c>
      <c r="F193" s="51"/>
      <c r="G193" s="51">
        <v>3</v>
      </c>
      <c r="H193" s="51"/>
      <c r="I193" s="51"/>
      <c r="J193" s="51">
        <v>7</v>
      </c>
      <c r="K193" s="37" t="s">
        <v>1242</v>
      </c>
      <c r="L193" s="50"/>
      <c r="M193" s="4" t="s">
        <v>5</v>
      </c>
      <c r="N193" s="25">
        <v>322</v>
      </c>
      <c r="O193" s="25"/>
      <c r="P193" s="25"/>
      <c r="Q193" s="25"/>
      <c r="R193" s="25"/>
      <c r="S193" s="25"/>
      <c r="T193" s="25">
        <v>15.425000000000001</v>
      </c>
      <c r="U193" s="25">
        <v>337.42500000000001</v>
      </c>
      <c r="V193" s="30">
        <v>8.0632514375326725</v>
      </c>
      <c r="W193" s="30">
        <v>168.32200731834814</v>
      </c>
      <c r="X193" s="31"/>
      <c r="Y193" s="31"/>
      <c r="Z193" s="31"/>
      <c r="AA193" s="31"/>
      <c r="AB193" s="31"/>
      <c r="AC193" s="31"/>
      <c r="AD193" s="31"/>
      <c r="AE193" s="32"/>
      <c r="AF193" s="16"/>
      <c r="AG193" s="3"/>
      <c r="AH193" s="4"/>
      <c r="AI193" s="6">
        <v>1913</v>
      </c>
      <c r="AJ193" s="38">
        <v>100</v>
      </c>
      <c r="AK193" s="3"/>
      <c r="AL193" s="1" t="s">
        <v>619</v>
      </c>
      <c r="AM193" s="37"/>
      <c r="AN193" s="37"/>
      <c r="AO193" s="37"/>
      <c r="AP193" s="37"/>
      <c r="AQ193" s="37"/>
      <c r="AR193" s="37"/>
      <c r="AS193" s="37"/>
      <c r="AT193" s="37"/>
      <c r="AU193" s="37"/>
      <c r="AV193" s="37"/>
      <c r="AW193" s="37"/>
      <c r="AX193" s="37"/>
      <c r="AY193" s="37"/>
      <c r="AZ193" s="37"/>
      <c r="BA193" s="37"/>
      <c r="BB193" s="37">
        <v>6.85</v>
      </c>
      <c r="BC193" s="37"/>
      <c r="BD193" s="37"/>
      <c r="BE193" s="37"/>
      <c r="BF193" s="37"/>
      <c r="BG193" s="42"/>
      <c r="BH193" s="42"/>
      <c r="BI193" s="42">
        <v>6.85</v>
      </c>
      <c r="BJ193" s="42"/>
      <c r="BK193" s="44">
        <v>6.85</v>
      </c>
      <c r="BL193" s="44">
        <v>15.43</v>
      </c>
      <c r="BM193" s="44">
        <f>+BK193+BL193</f>
        <v>22.28</v>
      </c>
      <c r="BN193" s="47">
        <v>97.857142857142861</v>
      </c>
      <c r="BO193" s="47">
        <v>220.42857142857142</v>
      </c>
      <c r="BP193" s="45">
        <v>318.28571428571428</v>
      </c>
      <c r="BQ193" s="9">
        <v>70</v>
      </c>
      <c r="BR193" s="1" t="s">
        <v>896</v>
      </c>
      <c r="BS193" s="4">
        <v>1993</v>
      </c>
      <c r="BT193" s="4" t="s">
        <v>897</v>
      </c>
      <c r="BU193" s="4"/>
      <c r="BV193" s="4" t="s">
        <v>898</v>
      </c>
      <c r="BW193" s="4"/>
      <c r="BX193" s="4" t="s">
        <v>895</v>
      </c>
      <c r="BY193" s="9">
        <f>+INT(BK193*faktorji!$B$3)</f>
        <v>445</v>
      </c>
      <c r="BZ193" s="9">
        <f>+INT(BL193*faktorji!$B$4)</f>
        <v>2545</v>
      </c>
      <c r="CA193" s="4"/>
      <c r="CB193" s="4">
        <v>1</v>
      </c>
      <c r="CC193" s="4">
        <v>1</v>
      </c>
      <c r="CD193" s="4">
        <v>0</v>
      </c>
      <c r="CE193" s="4">
        <v>0</v>
      </c>
      <c r="CF193" s="4">
        <v>1</v>
      </c>
      <c r="CG193" s="4">
        <v>1</v>
      </c>
      <c r="CH193" s="4">
        <v>1</v>
      </c>
      <c r="CI193" s="9">
        <f>+BQ193*(CB193*faktorji!$B$21+'MOL_tabela rezultatov'!CF241*faktorji!$B$23+'MOL_tabela rezultatov'!CH241*faktorji!$B$26)+faktorji!$B$27*CG193</f>
        <v>20205</v>
      </c>
      <c r="CJ193" s="9">
        <f>+(BZ193*CF193*faktorji!$B$18)+(CG193*faktorji!$B$17*('MOL_tabela rezultatov'!BY241+'MOL_tabela rezultatov'!BZ241))+('MOL_tabela rezultatov'!CH241*faktorji!$B$16*'MOL_tabela rezultatov'!BY241)+('MOL_tabela rezultatov'!CB241*faktorji!$B$12*'MOL_tabela rezultatov'!BY241)</f>
        <v>8592.0499999999993</v>
      </c>
      <c r="CK193" s="66">
        <f>+CI193/CJ193</f>
        <v>2.351592460472181</v>
      </c>
      <c r="CL193" s="3" t="str">
        <f>CONCATENATE(IF(CB193&gt;0,"kotlovnica/toplotna postaja, ",""),IF(CF193&gt;0,"razsvetljava, ",""),IF(CG193&gt;0,"energetsko upravljanje, ",""),IF(CH193&gt;0,"manjši investicijski in organizacijski ukrepi, ",""))</f>
        <v xml:space="preserve">kotlovnica/toplotna postaja, razsvetljava, energetsko upravljanje, manjši investicijski in organizacijski ukrepi, </v>
      </c>
      <c r="CM193" s="9">
        <f>+CJ193*0.9</f>
        <v>7732.8449999999993</v>
      </c>
      <c r="CN193" s="9">
        <f>+CJ193*0.9</f>
        <v>7732.8449999999993</v>
      </c>
      <c r="CO193" s="9">
        <f>+CJ193*0.9</f>
        <v>7732.8449999999993</v>
      </c>
      <c r="CP193" s="69">
        <f>+IF(CI193-SUM(CM193:CO193)&lt;0,0,CI193-SUM(CM193:CO193))</f>
        <v>0</v>
      </c>
      <c r="CQ193" s="9">
        <f>+(BQ193*CE193*faktorji!$B$24)+(BQ193^0.5*CC193*4*4*0.66*faktorji!$B$22)+(BQ193^0.5*CD193*4*4*0.33*faktorji!$B$25)</f>
        <v>6184.5909161398868</v>
      </c>
      <c r="CR193" s="3" t="str">
        <f t="shared" si="161"/>
        <v xml:space="preserve">izolacija ovoja, </v>
      </c>
      <c r="CS193" s="9">
        <f>+BQ193*('MOL_tabela rezultatov'!CH193*faktorji!$B$26)+faktorji!$B$27*CG193</f>
        <v>18105</v>
      </c>
      <c r="CT193" s="3" t="str">
        <f t="shared" si="159"/>
        <v xml:space="preserve">energetsko upravljanje, manjši investicijski in organizacijski ukrepi, </v>
      </c>
      <c r="CU193" s="9">
        <f t="shared" si="127"/>
        <v>4526.25</v>
      </c>
      <c r="CV193" s="9">
        <f t="shared" ref="CV193:CX193" si="170">+CU193</f>
        <v>4526.25</v>
      </c>
      <c r="CW193" s="9">
        <f t="shared" si="170"/>
        <v>4526.25</v>
      </c>
      <c r="CX193" s="69">
        <f t="shared" si="170"/>
        <v>4526.25</v>
      </c>
    </row>
    <row r="194" spans="1:102" s="10" customFormat="1" ht="18" hidden="1" customHeight="1">
      <c r="A194" s="53" t="s">
        <v>841</v>
      </c>
      <c r="B194" s="2" t="s">
        <v>655</v>
      </c>
      <c r="C194" s="57"/>
      <c r="D194" s="57"/>
      <c r="E194" s="51" t="s">
        <v>1176</v>
      </c>
      <c r="F194" s="51"/>
      <c r="G194" s="51" t="s">
        <v>1366</v>
      </c>
      <c r="H194" s="51" t="s">
        <v>1255</v>
      </c>
      <c r="I194" s="76" t="s">
        <v>1282</v>
      </c>
      <c r="J194" s="51">
        <v>1</v>
      </c>
      <c r="K194" s="37" t="s">
        <v>1243</v>
      </c>
      <c r="L194" s="50" t="s">
        <v>1258</v>
      </c>
      <c r="M194" s="110" t="s">
        <v>6</v>
      </c>
      <c r="N194" s="25"/>
      <c r="O194" s="25"/>
      <c r="P194" s="25"/>
      <c r="Q194" s="25"/>
      <c r="R194" s="25"/>
      <c r="S194" s="25"/>
      <c r="T194" s="25">
        <v>23.789000000000001</v>
      </c>
      <c r="U194" s="25">
        <v>23.789000000000001</v>
      </c>
      <c r="V194" s="30">
        <v>22.786398467432953</v>
      </c>
      <c r="W194" s="30"/>
      <c r="X194" s="31"/>
      <c r="Y194" s="31"/>
      <c r="Z194" s="31"/>
      <c r="AA194" s="31"/>
      <c r="AB194" s="31"/>
      <c r="AC194" s="31"/>
      <c r="AD194" s="31"/>
      <c r="AE194" s="32"/>
      <c r="AF194" s="16" t="s">
        <v>656</v>
      </c>
      <c r="AG194" s="3" t="s">
        <v>656</v>
      </c>
      <c r="AH194" s="4"/>
      <c r="AI194" s="6">
        <v>1044</v>
      </c>
      <c r="AJ194" s="38">
        <v>100</v>
      </c>
      <c r="AK194" s="3"/>
      <c r="AL194" s="1" t="s">
        <v>619</v>
      </c>
      <c r="AM194" s="37"/>
      <c r="AN194" s="37"/>
      <c r="AO194" s="37"/>
      <c r="AP194" s="37"/>
      <c r="AQ194" s="37"/>
      <c r="AR194" s="37"/>
      <c r="AS194" s="37"/>
      <c r="AT194" s="37"/>
      <c r="AU194" s="37"/>
      <c r="AV194" s="37"/>
      <c r="AW194" s="37"/>
      <c r="AX194" s="37"/>
      <c r="AY194" s="37"/>
      <c r="AZ194" s="37"/>
      <c r="BA194" s="37"/>
      <c r="BB194" s="37"/>
      <c r="BC194" s="37">
        <v>39.1</v>
      </c>
      <c r="BD194" s="37">
        <v>41.5</v>
      </c>
      <c r="BE194" s="37">
        <v>40.4</v>
      </c>
      <c r="BF194" s="37">
        <v>38.6</v>
      </c>
      <c r="BG194" s="42"/>
      <c r="BH194" s="42">
        <v>215.65</v>
      </c>
      <c r="BI194" s="42"/>
      <c r="BJ194" s="42"/>
      <c r="BK194" s="107">
        <v>216.5</v>
      </c>
      <c r="BL194" s="107">
        <v>40.5</v>
      </c>
      <c r="BM194" s="107">
        <f>+BK194+BL194</f>
        <v>257</v>
      </c>
      <c r="BN194" s="108">
        <f>+BK194*1000/BQ194</f>
        <v>301.11265646731573</v>
      </c>
      <c r="BO194" s="108">
        <f>+BL194*1000/BQ194</f>
        <v>56.328233657858135</v>
      </c>
      <c r="BP194" s="109">
        <f>+BO194+BN194</f>
        <v>357.44089012517384</v>
      </c>
      <c r="BQ194" s="106">
        <v>719</v>
      </c>
      <c r="BR194" s="110" t="s">
        <v>1426</v>
      </c>
      <c r="BS194" s="110">
        <v>2009</v>
      </c>
      <c r="BT194" s="110" t="s">
        <v>872</v>
      </c>
      <c r="BU194" s="4" t="s">
        <v>136</v>
      </c>
      <c r="BV194" s="4"/>
      <c r="BW194" s="4"/>
      <c r="BX194" s="4"/>
      <c r="BY194" s="106">
        <v>22800</v>
      </c>
      <c r="BZ194" s="106">
        <v>6090</v>
      </c>
      <c r="CA194" s="114" t="s">
        <v>1300</v>
      </c>
      <c r="CB194" s="4">
        <v>0</v>
      </c>
      <c r="CC194" s="4">
        <v>1</v>
      </c>
      <c r="CD194" s="4">
        <v>1</v>
      </c>
      <c r="CE194" s="4">
        <v>1</v>
      </c>
      <c r="CF194" s="4">
        <v>1</v>
      </c>
      <c r="CG194" s="4">
        <v>1</v>
      </c>
      <c r="CH194" s="4">
        <v>1</v>
      </c>
      <c r="CI194" s="106">
        <v>35000</v>
      </c>
      <c r="CJ194" s="106">
        <f>+(BZ194*CF194*faktorji!$B$18)+(CG194*faktorji!$B$17*('MOL_tabela rezultatov'!BY240+'MOL_tabela rezultatov'!BZ240))+('MOL_tabela rezultatov'!CH240*faktorji!$B$16*'MOL_tabela rezultatov'!BY240)+('MOL_tabela rezultatov'!CB240*faktorji!$B$12*'MOL_tabela rezultatov'!BY240)</f>
        <v>7600.1</v>
      </c>
      <c r="CK194" s="115">
        <f>+CI194/CJ194</f>
        <v>4.6052025631241689</v>
      </c>
      <c r="CL194" s="3" t="str">
        <f>CONCATENATE(IF(CB194&gt;0,"kotlovnica/toplotna postaja, ",""),IF(CF194&gt;0,"razsvetljava, ",""),IF(CG194&gt;0,"energetsko upravljanje, ",""),IF(CH194&gt;0,"manjši investicijski in organizacijski ukrepi, ",""))</f>
        <v xml:space="preserve">razsvetljava, energetsko upravljanje, manjši investicijski in organizacijski ukrepi, </v>
      </c>
      <c r="CM194" s="9">
        <f>+CJ194*0.9</f>
        <v>6840.09</v>
      </c>
      <c r="CN194" s="9">
        <f>+CJ194*0.9</f>
        <v>6840.09</v>
      </c>
      <c r="CO194" s="9">
        <f>+CJ194*0.9</f>
        <v>6840.09</v>
      </c>
      <c r="CP194" s="69">
        <f>+IF(CI194-SUM(CM194:CO194)&lt;0,0,CI194-SUM(CM194:CO194))</f>
        <v>14479.73</v>
      </c>
      <c r="CQ194" s="9">
        <f>+(BQ194*CE194*faktorji!$B$24)+(BQ194^0.5*CC194*4*4*0.66*faktorji!$B$22)+(BQ194^0.5*CD194*4*4*0.33*faktorji!$B$25)</f>
        <v>69595.749892218242</v>
      </c>
      <c r="CR194" s="3" t="str">
        <f t="shared" si="161"/>
        <v xml:space="preserve">izolacija ovoja, stavbno pohištvo, izolacija podstrešja, </v>
      </c>
      <c r="CS194" s="9">
        <f>+BQ194*('MOL_tabela rezultatov'!CH194*faktorji!$B$26)+faktorji!$B$27*CG194</f>
        <v>19078.5</v>
      </c>
      <c r="CT194" s="3" t="str">
        <f t="shared" si="159"/>
        <v xml:space="preserve">energetsko upravljanje, manjši investicijski in organizacijski ukrepi, </v>
      </c>
      <c r="CU194" s="9">
        <f t="shared" si="127"/>
        <v>4769.625</v>
      </c>
      <c r="CV194" s="9">
        <f t="shared" ref="CV194:CX194" si="171">+CU194</f>
        <v>4769.625</v>
      </c>
      <c r="CW194" s="9">
        <f t="shared" si="171"/>
        <v>4769.625</v>
      </c>
      <c r="CX194" s="69">
        <f t="shared" si="171"/>
        <v>4769.625</v>
      </c>
    </row>
    <row r="195" spans="1:102" s="10" customFormat="1" ht="18" customHeight="1">
      <c r="A195" s="117" t="s">
        <v>776</v>
      </c>
      <c r="B195" s="146" t="s">
        <v>777</v>
      </c>
      <c r="C195" s="57"/>
      <c r="D195" s="57"/>
      <c r="E195" s="51" t="s">
        <v>1176</v>
      </c>
      <c r="F195" s="51"/>
      <c r="G195" s="51">
        <v>3</v>
      </c>
      <c r="H195" s="51"/>
      <c r="I195" s="51"/>
      <c r="J195" s="51">
        <v>7</v>
      </c>
      <c r="K195" s="37" t="s">
        <v>1243</v>
      </c>
      <c r="L195" s="50"/>
      <c r="M195" s="4" t="s">
        <v>5</v>
      </c>
      <c r="N195" s="28">
        <v>164</v>
      </c>
      <c r="O195" s="25"/>
      <c r="P195" s="25"/>
      <c r="Q195" s="25"/>
      <c r="R195" s="25"/>
      <c r="S195" s="25"/>
      <c r="T195" s="25">
        <v>24.2</v>
      </c>
      <c r="U195" s="25">
        <v>188.2</v>
      </c>
      <c r="V195" s="30">
        <v>22.511627906976742</v>
      </c>
      <c r="W195" s="30">
        <v>152.55813953488371</v>
      </c>
      <c r="X195" s="31"/>
      <c r="Y195" s="31"/>
      <c r="Z195" s="31"/>
      <c r="AA195" s="31"/>
      <c r="AB195" s="31"/>
      <c r="AC195" s="31"/>
      <c r="AD195" s="31"/>
      <c r="AE195" s="32"/>
      <c r="AF195" s="16" t="s">
        <v>468</v>
      </c>
      <c r="AG195" s="3" t="s">
        <v>472</v>
      </c>
      <c r="AH195" s="4"/>
      <c r="AI195" s="6">
        <v>1075</v>
      </c>
      <c r="AJ195" s="38">
        <v>100</v>
      </c>
      <c r="AK195" s="3"/>
      <c r="AL195" s="1" t="s">
        <v>778</v>
      </c>
      <c r="AM195" s="39"/>
      <c r="AN195" s="39"/>
      <c r="AO195" s="39"/>
      <c r="AP195" s="39"/>
      <c r="AQ195" s="37"/>
      <c r="AR195" s="37"/>
      <c r="AS195" s="37"/>
      <c r="AT195" s="37"/>
      <c r="AU195" s="37"/>
      <c r="AV195" s="37"/>
      <c r="AW195" s="37"/>
      <c r="AX195" s="37"/>
      <c r="AY195" s="37"/>
      <c r="AZ195" s="37"/>
      <c r="BA195" s="37"/>
      <c r="BB195" s="37"/>
      <c r="BC195" s="37">
        <v>10.1</v>
      </c>
      <c r="BD195" s="37">
        <v>10.1</v>
      </c>
      <c r="BE195" s="37">
        <v>10.1</v>
      </c>
      <c r="BF195" s="37">
        <v>10.1</v>
      </c>
      <c r="BG195" s="42">
        <v>116.69999999999999</v>
      </c>
      <c r="BH195" s="42">
        <v>0.46</v>
      </c>
      <c r="BI195" s="42"/>
      <c r="BJ195" s="42"/>
      <c r="BK195" s="44">
        <v>117.15999999999998</v>
      </c>
      <c r="BL195" s="44">
        <v>10.1</v>
      </c>
      <c r="BM195" s="44">
        <f>+BK195+BL195</f>
        <v>127.25999999999998</v>
      </c>
      <c r="BN195" s="47">
        <v>187.45599999999999</v>
      </c>
      <c r="BO195" s="47">
        <v>16.16</v>
      </c>
      <c r="BP195" s="45">
        <v>203.61599999999996</v>
      </c>
      <c r="BQ195" s="9">
        <v>625</v>
      </c>
      <c r="BR195" s="4">
        <v>197</v>
      </c>
      <c r="BS195" s="4"/>
      <c r="BT195" s="4" t="s">
        <v>872</v>
      </c>
      <c r="BU195" s="4" t="s">
        <v>953</v>
      </c>
      <c r="BV195" s="4"/>
      <c r="BW195" s="4"/>
      <c r="BX195" s="4"/>
      <c r="BY195" s="9">
        <f>+INT(BK195*faktorji!$B$3)</f>
        <v>7615</v>
      </c>
      <c r="BZ195" s="9">
        <f>+INT(BL195*faktorji!$B$4)</f>
        <v>1666</v>
      </c>
      <c r="CA195" s="4"/>
      <c r="CB195" s="4">
        <v>0</v>
      </c>
      <c r="CC195" s="4">
        <v>0</v>
      </c>
      <c r="CD195" s="4">
        <v>0</v>
      </c>
      <c r="CE195" s="4">
        <v>0</v>
      </c>
      <c r="CF195" s="4">
        <v>0</v>
      </c>
      <c r="CG195" s="4">
        <v>1</v>
      </c>
      <c r="CH195" s="4">
        <v>1</v>
      </c>
      <c r="CI195" s="9">
        <f>+BQ195*(CB195*faktorji!$B$21+'MOL_tabela rezultatov'!CF282*faktorji!$B$23+'MOL_tabela rezultatov'!CH282*faktorji!$B$26)+faktorji!$B$27*CG195</f>
        <v>28312.5</v>
      </c>
      <c r="CJ195" s="9">
        <f>+(BZ195*CF195*faktorji!$B$18)+(CG195*faktorji!$B$17*('MOL_tabela rezultatov'!BY282+'MOL_tabela rezultatov'!BZ282))+('MOL_tabela rezultatov'!CH282*faktorji!$B$16*'MOL_tabela rezultatov'!BY282)+('MOL_tabela rezultatov'!CB282*faktorji!$B$12*'MOL_tabela rezultatov'!BY282)</f>
        <v>6344</v>
      </c>
      <c r="CK195" s="66">
        <f>+CI195/CJ195</f>
        <v>4.4628783102143759</v>
      </c>
      <c r="CL195" s="3" t="str">
        <f>CONCATENATE(IF(CB195&gt;0,"kotlovnica/toplotna postaja, ",""),IF(CF195&gt;0,"razsvetljava, ",""),IF(CG195&gt;0,"energetsko upravljanje, ",""),IF(CH195&gt;0,"manjši investicijski in organizacijski ukrepi, ",""))</f>
        <v xml:space="preserve">energetsko upravljanje, manjši investicijski in organizacijski ukrepi, </v>
      </c>
      <c r="CM195" s="9">
        <f>+CJ195*0.9</f>
        <v>5709.6</v>
      </c>
      <c r="CN195" s="9">
        <f>+CJ195*0.9</f>
        <v>5709.6</v>
      </c>
      <c r="CO195" s="9">
        <f>+CJ195*0.9</f>
        <v>5709.6</v>
      </c>
      <c r="CP195" s="69">
        <f>+IF(CI195-SUM(CM195:CO195)&lt;0,0,CI195-SUM(CM195:CO195))</f>
        <v>11183.699999999997</v>
      </c>
      <c r="CQ195" s="9">
        <f>+(BQ195*CE195*faktorji!$B$24)+(BQ195^0.5*CC195*4*4*0.66*faktorji!$B$22)+(BQ195^0.5*CD195*4*4*0.33*faktorji!$B$25)</f>
        <v>0</v>
      </c>
      <c r="CR195" s="3" t="str">
        <f t="shared" si="161"/>
        <v/>
      </c>
      <c r="CS195" s="9">
        <f>+BQ195*('MOL_tabela rezultatov'!CH195*faktorji!$B$26)+faktorji!$B$27*CG195</f>
        <v>18937.5</v>
      </c>
      <c r="CT195" s="3" t="str">
        <f t="shared" si="159"/>
        <v xml:space="preserve">energetsko upravljanje, manjši investicijski in organizacijski ukrepi, </v>
      </c>
      <c r="CU195" s="9">
        <f t="shared" si="127"/>
        <v>4734.375</v>
      </c>
      <c r="CV195" s="9">
        <f t="shared" ref="CV195:CX195" si="172">+CU195</f>
        <v>4734.375</v>
      </c>
      <c r="CW195" s="9">
        <f t="shared" si="172"/>
        <v>4734.375</v>
      </c>
      <c r="CX195" s="69">
        <f t="shared" si="172"/>
        <v>4734.375</v>
      </c>
    </row>
    <row r="196" spans="1:102" s="10" customFormat="1" ht="18" hidden="1" customHeight="1">
      <c r="A196" s="54" t="s">
        <v>422</v>
      </c>
      <c r="B196" s="3" t="s">
        <v>423</v>
      </c>
      <c r="C196" s="56"/>
      <c r="D196" s="56"/>
      <c r="E196" s="51" t="s">
        <v>1175</v>
      </c>
      <c r="F196" s="51"/>
      <c r="G196" s="51">
        <v>2</v>
      </c>
      <c r="H196" s="51" t="s">
        <v>1249</v>
      </c>
      <c r="I196" s="51"/>
      <c r="J196" s="51">
        <v>2</v>
      </c>
      <c r="K196" s="37" t="s">
        <v>1243</v>
      </c>
      <c r="L196" s="50"/>
      <c r="M196" s="4" t="s">
        <v>5</v>
      </c>
      <c r="N196" s="25"/>
      <c r="O196" s="25"/>
      <c r="P196" s="25"/>
      <c r="Q196" s="25"/>
      <c r="R196" s="25"/>
      <c r="S196" s="25">
        <v>608.6253639274039</v>
      </c>
      <c r="T196" s="25">
        <v>106.46131275066753</v>
      </c>
      <c r="U196" s="25">
        <v>106.46131275066753</v>
      </c>
      <c r="V196" s="30">
        <v>24.718205885922341</v>
      </c>
      <c r="W196" s="30">
        <v>141.31074156661342</v>
      </c>
      <c r="X196" s="31"/>
      <c r="Y196" s="31"/>
      <c r="Z196" s="31"/>
      <c r="AA196" s="31"/>
      <c r="AB196" s="31"/>
      <c r="AC196" s="31"/>
      <c r="AD196" s="31"/>
      <c r="AE196" s="32"/>
      <c r="AF196" s="16"/>
      <c r="AG196" s="3"/>
      <c r="AH196" s="4"/>
      <c r="AI196" s="6">
        <v>4307</v>
      </c>
      <c r="AJ196" s="38">
        <v>100</v>
      </c>
      <c r="AK196" s="3"/>
      <c r="AL196" s="1"/>
      <c r="AM196" s="37">
        <v>521.9</v>
      </c>
      <c r="AN196" s="37">
        <v>507.8</v>
      </c>
      <c r="AO196" s="37">
        <v>491</v>
      </c>
      <c r="AP196" s="37">
        <v>483.7</v>
      </c>
      <c r="AQ196" s="37"/>
      <c r="AR196" s="37"/>
      <c r="AS196" s="37"/>
      <c r="AT196" s="37"/>
      <c r="AU196" s="37"/>
      <c r="AV196" s="37"/>
      <c r="AW196" s="37"/>
      <c r="AX196" s="37"/>
      <c r="AY196" s="37">
        <v>13.8</v>
      </c>
      <c r="AZ196" s="37">
        <v>13.11</v>
      </c>
      <c r="BA196" s="37">
        <v>13.8</v>
      </c>
      <c r="BB196" s="37">
        <v>13.11</v>
      </c>
      <c r="BC196" s="37">
        <v>121.27</v>
      </c>
      <c r="BD196" s="37">
        <v>137.15</v>
      </c>
      <c r="BE196" s="37">
        <v>142.16</v>
      </c>
      <c r="BF196" s="37">
        <v>144.97</v>
      </c>
      <c r="BG196" s="42">
        <v>501.1</v>
      </c>
      <c r="BH196" s="42"/>
      <c r="BI196" s="42"/>
      <c r="BJ196" s="42">
        <v>13.455</v>
      </c>
      <c r="BK196" s="44">
        <v>514.55500000000006</v>
      </c>
      <c r="BL196" s="44">
        <v>136.38750000000002</v>
      </c>
      <c r="BM196" s="44">
        <f>+BK196+BL196</f>
        <v>650.94250000000011</v>
      </c>
      <c r="BN196" s="47">
        <v>92.712612612612617</v>
      </c>
      <c r="BO196" s="47">
        <v>24.57432432432433</v>
      </c>
      <c r="BP196" s="45">
        <v>117.28693693693695</v>
      </c>
      <c r="BQ196" s="9">
        <v>5550</v>
      </c>
      <c r="BR196" s="4"/>
      <c r="BS196" s="4"/>
      <c r="BT196" s="4" t="s">
        <v>872</v>
      </c>
      <c r="BU196" s="4"/>
      <c r="BV196" s="4" t="s">
        <v>898</v>
      </c>
      <c r="BW196" s="4"/>
      <c r="BX196" s="4"/>
      <c r="BY196" s="9">
        <f>+INT(BK196*faktorji!$B$3)</f>
        <v>33446</v>
      </c>
      <c r="BZ196" s="9">
        <f>+INT(BL196*faktorji!$B$4)</f>
        <v>22503</v>
      </c>
      <c r="CA196" s="3" t="s">
        <v>1305</v>
      </c>
      <c r="CB196" s="4">
        <v>1</v>
      </c>
      <c r="CC196" s="4">
        <v>1</v>
      </c>
      <c r="CD196" s="4">
        <v>0</v>
      </c>
      <c r="CE196" s="4">
        <v>0</v>
      </c>
      <c r="CF196" s="4">
        <v>1</v>
      </c>
      <c r="CG196" s="4">
        <v>1</v>
      </c>
      <c r="CH196" s="4">
        <v>0</v>
      </c>
      <c r="CI196" s="9">
        <f>+BQ196*(CB196*faktorji!$B$21+'MOL_tabela rezultatov'!CF167*faktorji!$B$23+'MOL_tabela rezultatov'!CH167*faktorji!$B$26)+faktorji!$B$27*CG196</f>
        <v>101250</v>
      </c>
      <c r="CJ196" s="9">
        <f>+(BZ196*CF196*faktorji!$B$18)+(CG196*faktorji!$B$17*('MOL_tabela rezultatov'!BY167+'MOL_tabela rezultatov'!BZ167))+('MOL_tabela rezultatov'!CH167*faktorji!$B$16*'MOL_tabela rezultatov'!BY167)+('MOL_tabela rezultatov'!CB167*faktorji!$B$12*'MOL_tabela rezultatov'!BY167)</f>
        <v>6811.45</v>
      </c>
      <c r="CK196" s="66">
        <f>+CI196/CJ196</f>
        <v>14.864676390489544</v>
      </c>
      <c r="CL196" s="3" t="str">
        <f>CONCATENATE(IF(CB196&gt;0,"kotlovnica/toplotna postaja, ",""),IF(CF196&gt;0,"razsvetljava, ",""),IF(CG196&gt;0,"energetsko upravljanje, ",""),IF(CH196&gt;0,"manjši investicijski in organizacijski ukrepi, ",""))</f>
        <v xml:space="preserve">kotlovnica/toplotna postaja, razsvetljava, energetsko upravljanje, </v>
      </c>
      <c r="CM196" s="9">
        <f>+CJ196*0.9</f>
        <v>6130.3050000000003</v>
      </c>
      <c r="CN196" s="9">
        <f>+CJ196*0.9</f>
        <v>6130.3050000000003</v>
      </c>
      <c r="CO196" s="9">
        <f>+CJ196*0.9</f>
        <v>6130.3050000000003</v>
      </c>
      <c r="CP196" s="69">
        <f>+IF(CI196-SUM(CM196:CO196)&lt;0,0,CI196-SUM(CM196:CO196))</f>
        <v>82859.084999999992</v>
      </c>
      <c r="CQ196" s="9">
        <f>+(BQ196*CE196*faktorji!$B$24)+(BQ196^0.5*CC196*4*4*0.66*faktorji!$B$22)+(BQ196^0.5*CD196*4*4*0.33*faktorji!$B$25)</f>
        <v>55069.159717576957</v>
      </c>
      <c r="CR196" s="3" t="str">
        <f t="shared" si="161"/>
        <v xml:space="preserve">izolacija ovoja, </v>
      </c>
      <c r="CS196" s="9">
        <f>+BQ196*('MOL_tabela rezultatov'!CH196*faktorji!$B$26)+faktorji!$B$27*CG196</f>
        <v>18000</v>
      </c>
      <c r="CT196" s="3" t="str">
        <f t="shared" si="159"/>
        <v xml:space="preserve">energetsko upravljanje, </v>
      </c>
      <c r="CU196" s="9">
        <f t="shared" si="127"/>
        <v>4500</v>
      </c>
      <c r="CV196" s="9">
        <f t="shared" ref="CV196:CX196" si="173">+CU196</f>
        <v>4500</v>
      </c>
      <c r="CW196" s="9">
        <f t="shared" si="173"/>
        <v>4500</v>
      </c>
      <c r="CX196" s="69">
        <f t="shared" si="173"/>
        <v>4500</v>
      </c>
    </row>
    <row r="197" spans="1:102" s="10" customFormat="1" ht="18" hidden="1" customHeight="1">
      <c r="A197" s="53" t="s">
        <v>607</v>
      </c>
      <c r="B197" s="2" t="s">
        <v>608</v>
      </c>
      <c r="C197" s="57"/>
      <c r="D197" s="57"/>
      <c r="E197" s="51" t="s">
        <v>1176</v>
      </c>
      <c r="F197" s="51"/>
      <c r="G197" s="51">
        <v>2</v>
      </c>
      <c r="H197" s="51" t="s">
        <v>1252</v>
      </c>
      <c r="I197" s="51"/>
      <c r="J197" s="51">
        <v>2</v>
      </c>
      <c r="K197" s="37" t="s">
        <v>1243</v>
      </c>
      <c r="L197" s="50"/>
      <c r="M197" s="4" t="s">
        <v>6</v>
      </c>
      <c r="N197" s="25"/>
      <c r="O197" s="25">
        <v>152.63333333333333</v>
      </c>
      <c r="P197" s="25"/>
      <c r="Q197" s="25"/>
      <c r="R197" s="25"/>
      <c r="S197" s="25"/>
      <c r="T197" s="27">
        <v>12.416</v>
      </c>
      <c r="U197" s="25">
        <v>165.04933333333332</v>
      </c>
      <c r="V197" s="30">
        <v>17.864748201438847</v>
      </c>
      <c r="W197" s="30">
        <v>219.61630695443642</v>
      </c>
      <c r="X197" s="31"/>
      <c r="Y197" s="31"/>
      <c r="Z197" s="31"/>
      <c r="AA197" s="31"/>
      <c r="AB197" s="31"/>
      <c r="AC197" s="31"/>
      <c r="AD197" s="31"/>
      <c r="AE197" s="32"/>
      <c r="AF197" s="16" t="s">
        <v>609</v>
      </c>
      <c r="AG197" s="3">
        <v>1995</v>
      </c>
      <c r="AH197" s="4"/>
      <c r="AI197" s="12">
        <v>695</v>
      </c>
      <c r="AJ197" s="38">
        <v>100</v>
      </c>
      <c r="AK197" s="3"/>
      <c r="AL197" s="1" t="s">
        <v>610</v>
      </c>
      <c r="AM197" s="37"/>
      <c r="AN197" s="37"/>
      <c r="AO197" s="37"/>
      <c r="AP197" s="37"/>
      <c r="AQ197" s="37"/>
      <c r="AR197" s="37"/>
      <c r="AS197" s="37"/>
      <c r="AT197" s="37"/>
      <c r="AU197" s="37"/>
      <c r="AV197" s="37"/>
      <c r="AW197" s="37"/>
      <c r="AX197" s="37"/>
      <c r="AY197" s="37"/>
      <c r="AZ197" s="37"/>
      <c r="BA197" s="37"/>
      <c r="BB197" s="37"/>
      <c r="BC197" s="37">
        <v>52.9</v>
      </c>
      <c r="BD197" s="37">
        <v>53.1</v>
      </c>
      <c r="BE197" s="37">
        <v>52.9</v>
      </c>
      <c r="BF197" s="37">
        <v>56.3</v>
      </c>
      <c r="BG197" s="42"/>
      <c r="BH197" s="42">
        <v>242.5</v>
      </c>
      <c r="BI197" s="43"/>
      <c r="BJ197" s="43"/>
      <c r="BK197" s="44">
        <v>242.5</v>
      </c>
      <c r="BL197" s="44">
        <v>53.8</v>
      </c>
      <c r="BM197" s="44">
        <f>+BK197+BL197</f>
        <v>296.3</v>
      </c>
      <c r="BN197" s="47">
        <v>274.94331065759638</v>
      </c>
      <c r="BO197" s="47">
        <v>60.997732426303855</v>
      </c>
      <c r="BP197" s="45">
        <v>335.94104308390024</v>
      </c>
      <c r="BQ197" s="9">
        <v>882</v>
      </c>
      <c r="BR197" s="4">
        <v>225</v>
      </c>
      <c r="BS197" s="4">
        <v>1995</v>
      </c>
      <c r="BT197" s="4" t="s">
        <v>872</v>
      </c>
      <c r="BU197" s="4" t="s">
        <v>136</v>
      </c>
      <c r="BV197" s="4" t="s">
        <v>873</v>
      </c>
      <c r="BW197" s="4" t="s">
        <v>874</v>
      </c>
      <c r="BX197" s="4"/>
      <c r="BY197" s="9">
        <f>+INT(BK197*faktorji!$B$5)</f>
        <v>23037</v>
      </c>
      <c r="BZ197" s="9">
        <f>+INT(BL197*faktorji!$B$4)</f>
        <v>8877</v>
      </c>
      <c r="CA197" s="3" t="s">
        <v>1303</v>
      </c>
      <c r="CB197" s="4">
        <v>1</v>
      </c>
      <c r="CC197" s="4">
        <v>1</v>
      </c>
      <c r="CD197" s="4">
        <v>0.5</v>
      </c>
      <c r="CE197" s="4">
        <v>1</v>
      </c>
      <c r="CF197" s="4">
        <v>1</v>
      </c>
      <c r="CG197" s="4">
        <v>1</v>
      </c>
      <c r="CH197" s="4">
        <v>0</v>
      </c>
      <c r="CI197" s="9" t="e">
        <f>+BQ197*(CB197*faktorji!$B$21+'MOL_tabela rezultatov'!#REF!*faktorji!$B$23+'MOL_tabela rezultatov'!#REF!*faktorji!$B$26)+faktorji!$B$27*CG197</f>
        <v>#REF!</v>
      </c>
      <c r="CJ197" s="9" t="e">
        <f>+(BZ197*CF197*faktorji!$B$18)+(CG197*faktorji!$B$17*('MOL_tabela rezultatov'!#REF!+'MOL_tabela rezultatov'!#REF!))+('MOL_tabela rezultatov'!#REF!*faktorji!$B$16*'MOL_tabela rezultatov'!#REF!)+('MOL_tabela rezultatov'!#REF!*faktorji!$B$12*'MOL_tabela rezultatov'!#REF!)</f>
        <v>#REF!</v>
      </c>
      <c r="CK197" s="66" t="e">
        <f>+CI197/CJ197</f>
        <v>#REF!</v>
      </c>
      <c r="CL197" s="3" t="str">
        <f>CONCATENATE(IF(CB197&gt;0,"kotlovnica/toplotna postaja, ",""),IF(CF197&gt;0,"razsvetljava, ",""),IF(CG197&gt;0,"energetsko upravljanje, ",""),IF(CH197&gt;0,"manjši investicijski in organizacijski ukrepi, ",""))</f>
        <v xml:space="preserve">kotlovnica/toplotna postaja, razsvetljava, energetsko upravljanje, </v>
      </c>
      <c r="CM197" s="9" t="e">
        <f>+CJ197*0.9</f>
        <v>#REF!</v>
      </c>
      <c r="CN197" s="9" t="e">
        <f>+CJ197*0.9</f>
        <v>#REF!</v>
      </c>
      <c r="CO197" s="9" t="e">
        <f>+CJ197*0.9</f>
        <v>#REF!</v>
      </c>
      <c r="CP197" s="69" t="e">
        <f>+IF(CI197-SUM(CM197:CO197)&lt;0,0,CI197-SUM(CM197:CO197))</f>
        <v>#REF!</v>
      </c>
      <c r="CQ197" s="9">
        <f>+(BQ197*CE197*faktorji!$B$24)+(BQ197^0.5*CC197*4*4*0.66*faktorji!$B$22)+(BQ197^0.5*CD197*4*4*0.33*faktorji!$B$25)</f>
        <v>59194.119945921128</v>
      </c>
      <c r="CR197" s="3" t="str">
        <f t="shared" si="161"/>
        <v xml:space="preserve">izolacija ovoja, stavbno pohištvo, izolacija podstrešja, </v>
      </c>
      <c r="CS197" s="9">
        <f>+BQ197*('MOL_tabela rezultatov'!CH197*faktorji!$B$26)+faktorji!$B$27*CG197</f>
        <v>18000</v>
      </c>
      <c r="CT197" s="3" t="str">
        <f t="shared" si="159"/>
        <v xml:space="preserve">energetsko upravljanje, </v>
      </c>
      <c r="CU197" s="9">
        <f t="shared" si="127"/>
        <v>4500</v>
      </c>
      <c r="CV197" s="9">
        <f t="shared" ref="CV197:CX197" si="174">+CU197</f>
        <v>4500</v>
      </c>
      <c r="CW197" s="9">
        <f t="shared" si="174"/>
        <v>4500</v>
      </c>
      <c r="CX197" s="69">
        <f t="shared" si="174"/>
        <v>4500</v>
      </c>
    </row>
    <row r="198" spans="1:102" s="10" customFormat="1" ht="18" hidden="1" customHeight="1">
      <c r="A198" s="53" t="s">
        <v>496</v>
      </c>
      <c r="B198" s="2" t="s">
        <v>497</v>
      </c>
      <c r="C198" s="57"/>
      <c r="D198" s="57"/>
      <c r="E198" s="51" t="s">
        <v>1175</v>
      </c>
      <c r="F198" s="51"/>
      <c r="G198" s="51">
        <v>2</v>
      </c>
      <c r="H198" s="51" t="s">
        <v>1250</v>
      </c>
      <c r="I198" s="51"/>
      <c r="J198" s="51">
        <v>2</v>
      </c>
      <c r="K198" s="37" t="s">
        <v>1242</v>
      </c>
      <c r="L198" s="50"/>
      <c r="M198" s="4" t="s">
        <v>6</v>
      </c>
      <c r="N198" s="25"/>
      <c r="O198" s="28">
        <v>892.96199999999999</v>
      </c>
      <c r="P198" s="25"/>
      <c r="Q198" s="25"/>
      <c r="R198" s="25"/>
      <c r="S198" s="25"/>
      <c r="T198" s="25">
        <v>89.1</v>
      </c>
      <c r="U198" s="25">
        <v>982.06200000000001</v>
      </c>
      <c r="V198" s="30">
        <v>27</v>
      </c>
      <c r="W198" s="30">
        <v>270.59454545454548</v>
      </c>
      <c r="X198" s="31"/>
      <c r="Y198" s="31"/>
      <c r="Z198" s="31"/>
      <c r="AA198" s="31"/>
      <c r="AB198" s="31"/>
      <c r="AC198" s="31"/>
      <c r="AD198" s="31"/>
      <c r="AE198" s="32"/>
      <c r="AF198" s="16"/>
      <c r="AG198" s="3"/>
      <c r="AH198" s="4"/>
      <c r="AI198" s="6">
        <v>3300</v>
      </c>
      <c r="AJ198" s="38">
        <v>100</v>
      </c>
      <c r="AK198" s="3"/>
      <c r="AL198" s="1"/>
      <c r="AM198" s="37"/>
      <c r="AN198" s="37"/>
      <c r="AO198" s="37"/>
      <c r="AP198" s="37"/>
      <c r="AQ198" s="37">
        <f>(57021*9.5)/1000</f>
        <v>541.69949999999994</v>
      </c>
      <c r="AR198" s="37">
        <f>(61689*9.5)/1000</f>
        <v>586.04549999999995</v>
      </c>
      <c r="AS198" s="37">
        <f>(50599*9.5)/1000</f>
        <v>480.69049999999999</v>
      </c>
      <c r="AT198" s="37">
        <f>(43725*9.5)/1000</f>
        <v>415.38749999999999</v>
      </c>
      <c r="AU198" s="37"/>
      <c r="AV198" s="37"/>
      <c r="AW198" s="37"/>
      <c r="AX198" s="37"/>
      <c r="AY198" s="37"/>
      <c r="AZ198" s="37"/>
      <c r="BA198" s="37"/>
      <c r="BB198" s="37"/>
      <c r="BC198" s="37">
        <v>49</v>
      </c>
      <c r="BD198" s="37">
        <v>46.2</v>
      </c>
      <c r="BE198" s="37">
        <v>59.8</v>
      </c>
      <c r="BF198" s="37">
        <v>58.4</v>
      </c>
      <c r="BG198" s="42"/>
      <c r="BH198" s="42">
        <v>505.95574999999997</v>
      </c>
      <c r="BI198" s="42"/>
      <c r="BJ198" s="42"/>
      <c r="BK198" s="44">
        <v>505.95574999999997</v>
      </c>
      <c r="BL198" s="44">
        <v>53.35</v>
      </c>
      <c r="BM198" s="44">
        <f>+BK198+BL198</f>
        <v>559.30574999999999</v>
      </c>
      <c r="BN198" s="47">
        <v>153.31992424242424</v>
      </c>
      <c r="BO198" s="47">
        <v>16.166666666666668</v>
      </c>
      <c r="BP198" s="45">
        <v>169.48659090909092</v>
      </c>
      <c r="BQ198" s="9">
        <v>3300</v>
      </c>
      <c r="BR198" s="4" t="s">
        <v>1032</v>
      </c>
      <c r="BS198" s="4">
        <v>1991</v>
      </c>
      <c r="BT198" s="1" t="s">
        <v>1034</v>
      </c>
      <c r="BU198" s="4"/>
      <c r="BV198" s="4" t="s">
        <v>870</v>
      </c>
      <c r="BW198" s="4"/>
      <c r="BX198" s="4"/>
      <c r="BY198" s="9">
        <f>+INT(BK198*faktorji!$B$5)</f>
        <v>48065</v>
      </c>
      <c r="BZ198" s="9">
        <f>+INT(BL198*faktorji!$B$4)</f>
        <v>8802</v>
      </c>
      <c r="CA198" s="3" t="s">
        <v>1300</v>
      </c>
      <c r="CB198" s="4">
        <v>1</v>
      </c>
      <c r="CC198" s="4">
        <v>0</v>
      </c>
      <c r="CD198" s="4">
        <v>0</v>
      </c>
      <c r="CE198" s="4">
        <v>1</v>
      </c>
      <c r="CF198" s="4">
        <v>1</v>
      </c>
      <c r="CG198" s="4">
        <v>1</v>
      </c>
      <c r="CH198" s="4">
        <v>0</v>
      </c>
      <c r="CI198" s="9">
        <f>+BQ198*(CB198*faktorji!$B$21+'MOL_tabela rezultatov'!CF190*faktorji!$B$23+'MOL_tabela rezultatov'!CH190*faktorji!$B$26)+faktorji!$B$27*CG198</f>
        <v>121950</v>
      </c>
      <c r="CJ198" s="9">
        <f>+(BZ198*CF198*faktorji!$B$18)+(CG198*faktorji!$B$17*('MOL_tabela rezultatov'!BY190+'MOL_tabela rezultatov'!BZ190))+('MOL_tabela rezultatov'!CH190*faktorji!$B$16*'MOL_tabela rezultatov'!BY190)+('MOL_tabela rezultatov'!CB190*faktorji!$B$12*'MOL_tabela rezultatov'!BY190)</f>
        <v>8434.5000000000018</v>
      </c>
      <c r="CK198" s="66">
        <f>+CI198/CJ198</f>
        <v>14.458474124133023</v>
      </c>
      <c r="CL198" s="3" t="str">
        <f>CONCATENATE(IF(CB198&gt;0,"kotlovnica/toplotna postaja, ",""),IF(CF198&gt;0,"razsvetljava, ",""),IF(CG198&gt;0,"energetsko upravljanje, ",""),IF(CH198&gt;0,"manjši investicijski in organizacijski ukrepi, ",""))</f>
        <v xml:space="preserve">kotlovnica/toplotna postaja, razsvetljava, energetsko upravljanje, </v>
      </c>
      <c r="CM198" s="9">
        <f>+CJ198*0.9</f>
        <v>7591.050000000002</v>
      </c>
      <c r="CN198" s="9">
        <f>+CJ198*0.9</f>
        <v>7591.050000000002</v>
      </c>
      <c r="CO198" s="9">
        <f>+CJ198*0.9</f>
        <v>7591.050000000002</v>
      </c>
      <c r="CP198" s="69">
        <f>+IF(CI198-SUM(CM198:CO198)&lt;0,0,CI198-SUM(CM198:CO198))</f>
        <v>99176.849999999991</v>
      </c>
      <c r="CQ198" s="9">
        <f>+(BQ198*CE198*faktorji!$B$24)+(BQ198^0.5*CC198*4*4*0.66*faktorji!$B$22)+(BQ198^0.5*CD198*4*4*0.33*faktorji!$B$25)</f>
        <v>66000</v>
      </c>
      <c r="CR198" s="3" t="str">
        <f t="shared" si="161"/>
        <v xml:space="preserve">izolacija podstrešja, </v>
      </c>
      <c r="CS198" s="9">
        <f>+BQ198*('MOL_tabela rezultatov'!CH198*faktorji!$B$26)+faktorji!$B$27*CG198</f>
        <v>18000</v>
      </c>
      <c r="CT198" s="3" t="str">
        <f t="shared" si="159"/>
        <v xml:space="preserve">energetsko upravljanje, </v>
      </c>
      <c r="CU198" s="9">
        <f t="shared" si="127"/>
        <v>4500</v>
      </c>
      <c r="CV198" s="9">
        <f t="shared" ref="CV198:CX198" si="175">+CU198</f>
        <v>4500</v>
      </c>
      <c r="CW198" s="9">
        <f t="shared" si="175"/>
        <v>4500</v>
      </c>
      <c r="CX198" s="69">
        <f t="shared" si="175"/>
        <v>4500</v>
      </c>
    </row>
    <row r="199" spans="1:102" s="10" customFormat="1" ht="18" hidden="1" customHeight="1">
      <c r="A199" s="53" t="s">
        <v>289</v>
      </c>
      <c r="B199" s="2" t="s">
        <v>290</v>
      </c>
      <c r="C199" s="57"/>
      <c r="D199" s="57"/>
      <c r="E199" s="51" t="s">
        <v>1174</v>
      </c>
      <c r="F199" s="51"/>
      <c r="G199" s="51">
        <v>4</v>
      </c>
      <c r="H199" s="51"/>
      <c r="I199" s="51"/>
      <c r="J199" s="51">
        <v>7</v>
      </c>
      <c r="K199" s="37" t="s">
        <v>1241</v>
      </c>
      <c r="L199" s="50"/>
      <c r="M199" s="4" t="s">
        <v>7</v>
      </c>
      <c r="N199" s="25"/>
      <c r="O199" s="25"/>
      <c r="P199" s="25">
        <v>45.60256643924059</v>
      </c>
      <c r="Q199" s="25"/>
      <c r="R199" s="25"/>
      <c r="S199" s="25"/>
      <c r="T199" s="25">
        <v>9.44</v>
      </c>
      <c r="U199" s="25">
        <v>55.042566439240588</v>
      </c>
      <c r="V199" s="30">
        <v>29.387043551349496</v>
      </c>
      <c r="W199" s="30">
        <v>141.96235233085511</v>
      </c>
      <c r="X199" s="31"/>
      <c r="Y199" s="31"/>
      <c r="Z199" s="31"/>
      <c r="AA199" s="31"/>
      <c r="AB199" s="31"/>
      <c r="AC199" s="31">
        <v>10.8</v>
      </c>
      <c r="AD199" s="31"/>
      <c r="AE199" s="32">
        <v>0</v>
      </c>
      <c r="AF199" s="1" t="s">
        <v>291</v>
      </c>
      <c r="AG199" s="4">
        <v>2008</v>
      </c>
      <c r="AH199" s="4"/>
      <c r="AI199" s="6">
        <v>321.23</v>
      </c>
      <c r="AJ199" s="38">
        <v>100</v>
      </c>
      <c r="AK199" s="3"/>
      <c r="AL199" s="1" t="s">
        <v>26</v>
      </c>
      <c r="AM199" s="37"/>
      <c r="AN199" s="37"/>
      <c r="AO199" s="37"/>
      <c r="AP199" s="37"/>
      <c r="AQ199" s="37"/>
      <c r="AR199" s="37"/>
      <c r="AS199" s="37"/>
      <c r="AT199" s="37"/>
      <c r="AU199" s="37"/>
      <c r="AV199" s="37"/>
      <c r="AW199" s="37"/>
      <c r="AX199" s="37"/>
      <c r="AY199" s="37"/>
      <c r="AZ199" s="37"/>
      <c r="BA199" s="37"/>
      <c r="BB199" s="37"/>
      <c r="BC199" s="37"/>
      <c r="BD199" s="37"/>
      <c r="BE199" s="37"/>
      <c r="BF199" s="37"/>
      <c r="BG199" s="42"/>
      <c r="BH199" s="42"/>
      <c r="BI199" s="42">
        <v>41.792023</v>
      </c>
      <c r="BJ199" s="42"/>
      <c r="BK199" s="44">
        <v>41.792023</v>
      </c>
      <c r="BL199" s="44">
        <v>9.44</v>
      </c>
      <c r="BM199" s="44">
        <f>+BK199+BL199</f>
        <v>51.232022999999998</v>
      </c>
      <c r="BN199" s="47">
        <v>130.1</v>
      </c>
      <c r="BO199" s="47">
        <v>29.3870435513495</v>
      </c>
      <c r="BP199" s="45">
        <v>159.4870435513495</v>
      </c>
      <c r="BQ199" s="6">
        <v>321.23</v>
      </c>
      <c r="BR199" s="4"/>
      <c r="BS199" s="4"/>
      <c r="BT199" s="4"/>
      <c r="BU199" s="4"/>
      <c r="BV199" s="4"/>
      <c r="BW199" s="4"/>
      <c r="BX199" s="4"/>
      <c r="BY199" s="9">
        <f>+INT(BK199*faktorji!$B$6)</f>
        <v>5224</v>
      </c>
      <c r="BZ199" s="9">
        <f>+INT(BL199*faktorji!$B$4)</f>
        <v>1557</v>
      </c>
      <c r="CA199" s="4"/>
      <c r="CB199" s="4">
        <v>0</v>
      </c>
      <c r="CC199" s="4">
        <v>0</v>
      </c>
      <c r="CD199" s="4">
        <v>0</v>
      </c>
      <c r="CE199" s="4">
        <v>0</v>
      </c>
      <c r="CF199" s="4">
        <v>1</v>
      </c>
      <c r="CG199" s="4">
        <v>1</v>
      </c>
      <c r="CH199" s="4">
        <v>1</v>
      </c>
      <c r="CI199" s="9" t="e">
        <f>+BQ199*(CB199*faktorji!$B$21+'MOL_tabela rezultatov'!#REF!*faktorji!$B$23+'MOL_tabela rezultatov'!#REF!*faktorji!$B$26)+faktorji!$B$27*CG199</f>
        <v>#REF!</v>
      </c>
      <c r="CJ199" s="9" t="e">
        <f>+(BZ199*CF199*faktorji!$B$18)+(CG199*faktorji!$B$17*('MOL_tabela rezultatov'!#REF!+'MOL_tabela rezultatov'!#REF!))+('MOL_tabela rezultatov'!#REF!*faktorji!$B$16*'MOL_tabela rezultatov'!#REF!)+('MOL_tabela rezultatov'!#REF!*faktorji!$B$12*'MOL_tabela rezultatov'!#REF!)</f>
        <v>#REF!</v>
      </c>
      <c r="CK199" s="66" t="e">
        <f>+CI199/CJ199</f>
        <v>#REF!</v>
      </c>
      <c r="CL199" s="3" t="str">
        <f>CONCATENATE(IF(CB199&gt;0,"kotlovnica/toplotna postaja, ",""),IF(CF199&gt;0,"razsvetljava, ",""),IF(CG199&gt;0,"energetsko upravljanje, ",""),IF(CH199&gt;0,"manjši investicijski in organizacijski ukrepi, ",""))</f>
        <v xml:space="preserve">razsvetljava, energetsko upravljanje, manjši investicijski in organizacijski ukrepi, </v>
      </c>
      <c r="CM199" s="9" t="e">
        <f>+CJ199*0.9</f>
        <v>#REF!</v>
      </c>
      <c r="CN199" s="9" t="e">
        <f>+CJ199*0.9</f>
        <v>#REF!</v>
      </c>
      <c r="CO199" s="9" t="e">
        <f>+CJ199*0.9</f>
        <v>#REF!</v>
      </c>
      <c r="CP199" s="69" t="e">
        <f>+IF(CI199-SUM(CM199:CO199)&lt;0,0,CI199-SUM(CM199:CO199))</f>
        <v>#REF!</v>
      </c>
      <c r="CQ199" s="9">
        <f>+(BQ199*CE199*faktorji!$B$24)+(BQ199^0.5*CC199*4*4*0.66*faktorji!$B$22)+(BQ199^0.5*CD199*4*4*0.33*faktorji!$B$25)</f>
        <v>0</v>
      </c>
      <c r="CR199" s="3" t="str">
        <f t="shared" si="161"/>
        <v/>
      </c>
      <c r="CS199" s="9">
        <f>+BQ199*('MOL_tabela rezultatov'!CH199*faktorji!$B$26)+faktorji!$B$27*CG199</f>
        <v>18481.845000000001</v>
      </c>
      <c r="CT199" s="3" t="str">
        <f t="shared" si="159"/>
        <v xml:space="preserve">energetsko upravljanje, manjši investicijski in organizacijski ukrepi, </v>
      </c>
      <c r="CU199" s="9">
        <f t="shared" si="127"/>
        <v>4620.4612500000003</v>
      </c>
      <c r="CV199" s="9">
        <f t="shared" ref="CV199:CX199" si="176">+CU199</f>
        <v>4620.4612500000003</v>
      </c>
      <c r="CW199" s="9">
        <f t="shared" si="176"/>
        <v>4620.4612500000003</v>
      </c>
      <c r="CX199" s="69">
        <f t="shared" si="176"/>
        <v>4620.4612500000003</v>
      </c>
    </row>
    <row r="200" spans="1:102" s="10" customFormat="1" ht="18" hidden="1" customHeight="1">
      <c r="A200" s="53" t="s">
        <v>668</v>
      </c>
      <c r="B200" s="2" t="s">
        <v>669</v>
      </c>
      <c r="C200" s="57"/>
      <c r="D200" s="57"/>
      <c r="E200" s="51" t="s">
        <v>1176</v>
      </c>
      <c r="F200" s="51"/>
      <c r="G200" s="51" t="s">
        <v>1366</v>
      </c>
      <c r="H200" s="71" t="s">
        <v>1285</v>
      </c>
      <c r="I200" s="75" t="s">
        <v>1336</v>
      </c>
      <c r="J200" s="51">
        <v>1</v>
      </c>
      <c r="K200" s="37" t="s">
        <v>1243</v>
      </c>
      <c r="L200" s="50">
        <v>2013</v>
      </c>
      <c r="M200" s="4" t="s">
        <v>7</v>
      </c>
      <c r="N200" s="25"/>
      <c r="O200" s="25"/>
      <c r="P200" s="25">
        <v>80</v>
      </c>
      <c r="Q200" s="25"/>
      <c r="R200" s="25"/>
      <c r="S200" s="25"/>
      <c r="T200" s="25">
        <v>11.957000000000001</v>
      </c>
      <c r="U200" s="25">
        <v>91.956999999999994</v>
      </c>
      <c r="V200" s="30">
        <v>37.133540372670808</v>
      </c>
      <c r="W200" s="30">
        <v>248.44720496894411</v>
      </c>
      <c r="X200" s="31"/>
      <c r="Y200" s="31"/>
      <c r="Z200" s="31"/>
      <c r="AA200" s="31"/>
      <c r="AB200" s="31"/>
      <c r="AC200" s="31"/>
      <c r="AD200" s="31"/>
      <c r="AE200" s="32"/>
      <c r="AF200" s="16" t="s">
        <v>670</v>
      </c>
      <c r="AG200" s="3">
        <v>1980</v>
      </c>
      <c r="AH200" s="4"/>
      <c r="AI200" s="6">
        <v>322</v>
      </c>
      <c r="AJ200" s="38">
        <v>100</v>
      </c>
      <c r="AK200" s="3"/>
      <c r="AL200" s="1" t="s">
        <v>421</v>
      </c>
      <c r="AM200" s="37"/>
      <c r="AN200" s="37"/>
      <c r="AO200" s="37"/>
      <c r="AP200" s="37"/>
      <c r="AQ200" s="37"/>
      <c r="AR200" s="37"/>
      <c r="AS200" s="37"/>
      <c r="AT200" s="37"/>
      <c r="AU200" s="37">
        <v>120</v>
      </c>
      <c r="AV200" s="37">
        <v>120</v>
      </c>
      <c r="AW200" s="37">
        <v>140</v>
      </c>
      <c r="AX200" s="37">
        <v>100</v>
      </c>
      <c r="AY200" s="37"/>
      <c r="AZ200" s="37"/>
      <c r="BA200" s="37"/>
      <c r="BB200" s="37"/>
      <c r="BC200" s="37">
        <v>9.4</v>
      </c>
      <c r="BD200" s="37">
        <v>9.9</v>
      </c>
      <c r="BE200" s="37">
        <v>7.8</v>
      </c>
      <c r="BF200" s="37">
        <v>9.8000000000000007</v>
      </c>
      <c r="BG200" s="42"/>
      <c r="BH200" s="42"/>
      <c r="BI200" s="42">
        <v>120</v>
      </c>
      <c r="BJ200" s="42"/>
      <c r="BK200" s="44">
        <v>120</v>
      </c>
      <c r="BL200" s="44">
        <v>9.2250000000000014</v>
      </c>
      <c r="BM200" s="44">
        <f>+BK200+BL200</f>
        <v>129.22499999999999</v>
      </c>
      <c r="BN200" s="47">
        <v>309.2783505154639</v>
      </c>
      <c r="BO200" s="47">
        <v>23.775773195876294</v>
      </c>
      <c r="BP200" s="45">
        <v>333.0541237113402</v>
      </c>
      <c r="BQ200" s="9">
        <v>388</v>
      </c>
      <c r="BR200" s="4"/>
      <c r="BS200" s="4"/>
      <c r="BT200" s="4"/>
      <c r="BU200" s="4"/>
      <c r="BV200" s="4"/>
      <c r="BW200" s="4"/>
      <c r="BX200" s="4" t="s">
        <v>902</v>
      </c>
      <c r="BY200" s="9">
        <f>+INT(BK200*faktorji!$B$6)</f>
        <v>15000</v>
      </c>
      <c r="BZ200" s="9">
        <f>+INT(BL200*faktorji!$B$4)</f>
        <v>1522</v>
      </c>
      <c r="CA200" s="3" t="s">
        <v>1317</v>
      </c>
      <c r="CB200" s="4">
        <v>0</v>
      </c>
      <c r="CC200" s="4">
        <v>0</v>
      </c>
      <c r="CD200" s="4">
        <v>0</v>
      </c>
      <c r="CE200" s="4">
        <v>0</v>
      </c>
      <c r="CF200" s="4">
        <v>0</v>
      </c>
      <c r="CG200" s="4">
        <v>0</v>
      </c>
      <c r="CH200" s="4">
        <v>0</v>
      </c>
      <c r="CI200" s="9">
        <v>30000</v>
      </c>
      <c r="CJ200" s="9"/>
      <c r="CK200" s="9"/>
      <c r="CL200" s="3" t="str">
        <f>CONCATENATE(IF(CB200&gt;0,"kotlovnica/toplotna postaja, ",""),IF(CF200&gt;0,"razsvetljava, ",""),IF(CG200&gt;0,"energetsko upravljanje, ",""),IF(CH200&gt;0,"manjši investicijski in organizacijski ukrepi, ",""))</f>
        <v/>
      </c>
      <c r="CM200" s="9">
        <f>+CJ200*0.9</f>
        <v>0</v>
      </c>
      <c r="CN200" s="9">
        <f>+CJ200*0.9</f>
        <v>0</v>
      </c>
      <c r="CO200" s="9">
        <f>+CJ200*0.9</f>
        <v>0</v>
      </c>
      <c r="CP200" s="69">
        <f>+IF(CI200-SUM(CM200:CO200)&lt;0,0,CI200-SUM(CM200:CO200))</f>
        <v>30000</v>
      </c>
      <c r="CQ200" s="9">
        <f>+(BQ200*CE200*faktorji!$B$24)+(BQ200^0.5*CC200*4*4*0.66*faktorji!$B$22)+(BQ200^0.5*CD200*4*4*0.33*faktorji!$B$25)</f>
        <v>0</v>
      </c>
      <c r="CR200" s="3" t="str">
        <f t="shared" si="161"/>
        <v/>
      </c>
      <c r="CS200" s="9">
        <f>+BQ200*('MOL_tabela rezultatov'!CH200*faktorji!$B$26)+faktorji!$B$27*CG200</f>
        <v>0</v>
      </c>
      <c r="CT200" s="3" t="str">
        <f t="shared" si="159"/>
        <v/>
      </c>
      <c r="CU200" s="9">
        <f t="shared" si="127"/>
        <v>0</v>
      </c>
      <c r="CV200" s="9">
        <f t="shared" ref="CV200:CX200" si="177">+CU200</f>
        <v>0</v>
      </c>
      <c r="CW200" s="9">
        <f t="shared" si="177"/>
        <v>0</v>
      </c>
      <c r="CX200" s="69">
        <f t="shared" si="177"/>
        <v>0</v>
      </c>
    </row>
    <row r="201" spans="1:102" s="10" customFormat="1" ht="18" hidden="1" customHeight="1">
      <c r="A201" s="53" t="s">
        <v>1392</v>
      </c>
      <c r="B201" s="2" t="s">
        <v>116</v>
      </c>
      <c r="C201" s="57" t="s">
        <v>1385</v>
      </c>
      <c r="D201" s="57" t="s">
        <v>1386</v>
      </c>
      <c r="E201" s="51" t="s">
        <v>1167</v>
      </c>
      <c r="F201" s="51"/>
      <c r="G201" s="51">
        <v>2</v>
      </c>
      <c r="H201" s="51"/>
      <c r="I201" s="51"/>
      <c r="J201" s="51">
        <v>4</v>
      </c>
      <c r="K201" s="37" t="s">
        <v>1243</v>
      </c>
      <c r="L201" s="50"/>
      <c r="M201" s="4" t="s">
        <v>6</v>
      </c>
      <c r="N201" s="25"/>
      <c r="O201" s="25">
        <v>289.75</v>
      </c>
      <c r="P201" s="25"/>
      <c r="Q201" s="25"/>
      <c r="R201" s="25"/>
      <c r="S201" s="25"/>
      <c r="T201" s="25">
        <v>161.78</v>
      </c>
      <c r="U201" s="25">
        <v>451.53</v>
      </c>
      <c r="V201" s="30">
        <v>77.074797522629822</v>
      </c>
      <c r="W201" s="30">
        <v>138.04192472606002</v>
      </c>
      <c r="X201" s="31"/>
      <c r="Y201" s="31"/>
      <c r="Z201" s="31"/>
      <c r="AA201" s="31"/>
      <c r="AB201" s="31"/>
      <c r="AC201" s="31">
        <v>160.19999999999999</v>
      </c>
      <c r="AD201" s="31"/>
      <c r="AE201" s="32">
        <v>0</v>
      </c>
      <c r="AF201" s="1">
        <v>381</v>
      </c>
      <c r="AG201" s="4">
        <v>1991</v>
      </c>
      <c r="AH201" s="11">
        <v>2001</v>
      </c>
      <c r="AI201" s="6">
        <v>2099</v>
      </c>
      <c r="AJ201" s="38">
        <v>100</v>
      </c>
      <c r="AK201" s="34"/>
      <c r="AL201" s="1" t="s">
        <v>95</v>
      </c>
      <c r="AM201" s="37"/>
      <c r="AN201" s="37"/>
      <c r="AO201" s="37"/>
      <c r="AP201" s="37"/>
      <c r="AQ201" s="37">
        <f>(25457*9.5)/1000</f>
        <v>241.8415</v>
      </c>
      <c r="AR201" s="37">
        <f>(26099*9.5)/1000</f>
        <v>247.94049999999999</v>
      </c>
      <c r="AS201" s="37">
        <f>(26888*9.5)/1000</f>
        <v>255.43600000000001</v>
      </c>
      <c r="AT201" s="37">
        <f>(31639*9.5)/1000</f>
        <v>300.57049999999998</v>
      </c>
      <c r="AU201" s="37"/>
      <c r="AV201" s="37"/>
      <c r="AW201" s="37"/>
      <c r="AX201" s="37"/>
      <c r="AY201" s="37"/>
      <c r="AZ201" s="37"/>
      <c r="BA201" s="37"/>
      <c r="BB201" s="37"/>
      <c r="BC201" s="37">
        <v>153.80000000000001</v>
      </c>
      <c r="BD201" s="37">
        <v>165.4</v>
      </c>
      <c r="BE201" s="37">
        <v>147.19999999999999</v>
      </c>
      <c r="BF201" s="37">
        <v>137.19999999999999</v>
      </c>
      <c r="BG201" s="42"/>
      <c r="BH201" s="42">
        <v>261.44712499999997</v>
      </c>
      <c r="BI201" s="42"/>
      <c r="BJ201" s="42"/>
      <c r="BK201" s="44">
        <v>261.44712499999997</v>
      </c>
      <c r="BL201" s="44">
        <v>150.9</v>
      </c>
      <c r="BM201" s="44">
        <f>+BK201+BL201</f>
        <v>412.34712500000001</v>
      </c>
      <c r="BN201" s="47">
        <v>124.55794425917102</v>
      </c>
      <c r="BO201" s="47">
        <v>71.891376846117197</v>
      </c>
      <c r="BP201" s="45">
        <v>196.44932110528822</v>
      </c>
      <c r="BQ201" s="9">
        <v>2099</v>
      </c>
      <c r="BR201" s="4">
        <v>339</v>
      </c>
      <c r="BS201" s="4">
        <v>1991</v>
      </c>
      <c r="BT201" s="1" t="s">
        <v>1040</v>
      </c>
      <c r="BU201" s="4" t="s">
        <v>1104</v>
      </c>
      <c r="BV201" s="4" t="s">
        <v>1069</v>
      </c>
      <c r="BW201" s="1" t="s">
        <v>1103</v>
      </c>
      <c r="BX201" s="4"/>
      <c r="BY201" s="9">
        <f>+INT(BK201*faktorji!$B$5)</f>
        <v>24837</v>
      </c>
      <c r="BZ201" s="9">
        <f>+INT(BL201*faktorji!$B$4)</f>
        <v>24898</v>
      </c>
      <c r="CA201" s="72" t="s">
        <v>1314</v>
      </c>
      <c r="CB201" s="4">
        <v>0</v>
      </c>
      <c r="CC201" s="4">
        <v>0</v>
      </c>
      <c r="CD201" s="4">
        <v>0</v>
      </c>
      <c r="CE201" s="4">
        <v>0</v>
      </c>
      <c r="CF201" s="4">
        <v>1</v>
      </c>
      <c r="CG201" s="4">
        <v>1</v>
      </c>
      <c r="CH201" s="4">
        <v>1</v>
      </c>
      <c r="CI201" s="9">
        <f>+BQ201*(CB201*faktorji!$B$21+'MOL_tabela rezultatov'!CF41*faktorji!$B$23+'MOL_tabela rezultatov'!CH41*faktorji!$B$26)+faktorji!$B$27*CG201</f>
        <v>52633.5</v>
      </c>
      <c r="CJ201" s="9">
        <f>+(BZ201*CF201*faktorji!$B$18)+(CG201*faktorji!$B$17*('MOL_tabela rezultatov'!BY41+'MOL_tabela rezultatov'!BZ41))+('MOL_tabela rezultatov'!CH41*faktorji!$B$16*'MOL_tabela rezultatov'!BY41)+('MOL_tabela rezultatov'!CB41*faktorji!$B$12*'MOL_tabela rezultatov'!BY41)</f>
        <v>6745.7</v>
      </c>
      <c r="CK201" s="66">
        <f>+CI201/CJ201</f>
        <v>7.8025260536341667</v>
      </c>
      <c r="CL201" s="3" t="str">
        <f>CONCATENATE(IF(CB201&gt;0,"kotlovnica/toplotna postaja, ",""),IF(CF201&gt;0,"razsvetljava, ",""),IF(CG201&gt;0,"energetsko upravljanje, ",""),IF(CH201&gt;0,"manjši investicijski in organizacijski ukrepi, ",""))</f>
        <v xml:space="preserve">razsvetljava, energetsko upravljanje, manjši investicijski in organizacijski ukrepi, </v>
      </c>
      <c r="CM201" s="9">
        <f>+CJ201*0.9</f>
        <v>6071.13</v>
      </c>
      <c r="CN201" s="9">
        <f>+CJ201*0.9</f>
        <v>6071.13</v>
      </c>
      <c r="CO201" s="9">
        <f>+CJ201*0.9</f>
        <v>6071.13</v>
      </c>
      <c r="CP201" s="69">
        <f>+IF(CI201-SUM(CM201:CO201)&lt;0,0,CI201-SUM(CM201:CO201))</f>
        <v>34420.11</v>
      </c>
      <c r="CQ201" s="9">
        <f>+(BQ201*CE201*faktorji!$B$24)+(BQ201^0.5*CC201*4*4*0.66*faktorji!$B$22)+(BQ201^0.5*CD201*4*4*0.33*faktorji!$B$25)</f>
        <v>0</v>
      </c>
      <c r="CR201" s="3" t="str">
        <f t="shared" si="161"/>
        <v/>
      </c>
      <c r="CS201" s="9">
        <f>+BQ201*('MOL_tabela rezultatov'!CH201*faktorji!$B$26)+faktorji!$B$27*CG201</f>
        <v>21148.5</v>
      </c>
      <c r="CT201" s="3" t="str">
        <f t="shared" si="159"/>
        <v xml:space="preserve">energetsko upravljanje, manjši investicijski in organizacijski ukrepi, </v>
      </c>
      <c r="CU201" s="9">
        <f t="shared" si="127"/>
        <v>5287.125</v>
      </c>
      <c r="CV201" s="9">
        <f t="shared" ref="CV201:CX201" si="178">+CU201</f>
        <v>5287.125</v>
      </c>
      <c r="CW201" s="9">
        <f t="shared" si="178"/>
        <v>5287.125</v>
      </c>
      <c r="CX201" s="69">
        <f t="shared" si="178"/>
        <v>5287.125</v>
      </c>
    </row>
    <row r="202" spans="1:102" s="10" customFormat="1" ht="18" hidden="1" customHeight="1">
      <c r="A202" s="53" t="s">
        <v>672</v>
      </c>
      <c r="B202" s="2" t="s">
        <v>673</v>
      </c>
      <c r="C202" s="57"/>
      <c r="D202" s="57"/>
      <c r="E202" s="51" t="s">
        <v>1176</v>
      </c>
      <c r="F202" s="51"/>
      <c r="G202" s="51" t="s">
        <v>1366</v>
      </c>
      <c r="H202" s="71" t="s">
        <v>1285</v>
      </c>
      <c r="I202" s="75" t="s">
        <v>1336</v>
      </c>
      <c r="J202" s="51">
        <v>1</v>
      </c>
      <c r="K202" s="37" t="s">
        <v>1243</v>
      </c>
      <c r="L202" s="50">
        <v>2013</v>
      </c>
      <c r="M202" s="4" t="s">
        <v>7</v>
      </c>
      <c r="N202" s="25"/>
      <c r="O202" s="25"/>
      <c r="P202" s="25">
        <v>120</v>
      </c>
      <c r="Q202" s="25"/>
      <c r="R202" s="25"/>
      <c r="S202" s="25"/>
      <c r="T202" s="25">
        <v>33.121000000000002</v>
      </c>
      <c r="U202" s="25">
        <v>153.12100000000001</v>
      </c>
      <c r="V202" s="30">
        <v>57.90384615384616</v>
      </c>
      <c r="W202" s="30">
        <v>209.79020979020979</v>
      </c>
      <c r="X202" s="31"/>
      <c r="Y202" s="31"/>
      <c r="Z202" s="31"/>
      <c r="AA202" s="31"/>
      <c r="AB202" s="31"/>
      <c r="AC202" s="31"/>
      <c r="AD202" s="31"/>
      <c r="AE202" s="32"/>
      <c r="AF202" s="16" t="s">
        <v>674</v>
      </c>
      <c r="AG202" s="3">
        <v>1990</v>
      </c>
      <c r="AH202" s="4"/>
      <c r="AI202" s="6">
        <v>572</v>
      </c>
      <c r="AJ202" s="38">
        <v>100</v>
      </c>
      <c r="AK202" s="3"/>
      <c r="AL202" s="1" t="s">
        <v>675</v>
      </c>
      <c r="AM202" s="37"/>
      <c r="AN202" s="37"/>
      <c r="AO202" s="37"/>
      <c r="AP202" s="37"/>
      <c r="AQ202" s="37"/>
      <c r="AR202" s="37"/>
      <c r="AS202" s="37"/>
      <c r="AT202" s="37"/>
      <c r="AU202" s="37">
        <v>175</v>
      </c>
      <c r="AV202" s="37">
        <v>195</v>
      </c>
      <c r="AW202" s="37">
        <v>230</v>
      </c>
      <c r="AX202" s="37">
        <v>80</v>
      </c>
      <c r="AY202" s="37"/>
      <c r="AZ202" s="37"/>
      <c r="BA202" s="37"/>
      <c r="BB202" s="37"/>
      <c r="BC202" s="37">
        <v>29.1</v>
      </c>
      <c r="BD202" s="37">
        <v>30.2</v>
      </c>
      <c r="BE202" s="37">
        <v>29.5</v>
      </c>
      <c r="BF202" s="37">
        <v>33.799999999999997</v>
      </c>
      <c r="BG202" s="42"/>
      <c r="BH202" s="42"/>
      <c r="BI202" s="42">
        <v>170</v>
      </c>
      <c r="BJ202" s="42"/>
      <c r="BK202" s="44">
        <v>170</v>
      </c>
      <c r="BL202" s="44">
        <v>30.65</v>
      </c>
      <c r="BM202" s="44">
        <f>+BK202+BL202</f>
        <v>200.65</v>
      </c>
      <c r="BN202" s="47">
        <v>297.20279720279723</v>
      </c>
      <c r="BO202" s="47">
        <v>53.583916083916087</v>
      </c>
      <c r="BP202" s="45">
        <v>350.78671328671328</v>
      </c>
      <c r="BQ202" s="9">
        <v>572</v>
      </c>
      <c r="BR202" s="4"/>
      <c r="BS202" s="4"/>
      <c r="BT202" s="4"/>
      <c r="BU202" s="4"/>
      <c r="BV202" s="4"/>
      <c r="BW202" s="4"/>
      <c r="BX202" s="4" t="s">
        <v>902</v>
      </c>
      <c r="BY202" s="9">
        <f>+INT(BK202*faktorji!$B$6)</f>
        <v>21250</v>
      </c>
      <c r="BZ202" s="9">
        <f>+INT(BL202*faktorji!$B$4)</f>
        <v>5057</v>
      </c>
      <c r="CA202" s="3" t="s">
        <v>1317</v>
      </c>
      <c r="CB202" s="4">
        <v>0</v>
      </c>
      <c r="CC202" s="4">
        <v>0</v>
      </c>
      <c r="CD202" s="4">
        <v>0</v>
      </c>
      <c r="CE202" s="4">
        <v>0</v>
      </c>
      <c r="CF202" s="4">
        <v>0</v>
      </c>
      <c r="CG202" s="4">
        <v>0</v>
      </c>
      <c r="CH202" s="4">
        <v>0</v>
      </c>
      <c r="CI202" s="9">
        <v>30000</v>
      </c>
      <c r="CJ202" s="9"/>
      <c r="CK202" s="9"/>
      <c r="CL202" s="3" t="str">
        <f>CONCATENATE(IF(CB202&gt;0,"kotlovnica/toplotna postaja, ",""),IF(CF202&gt;0,"razsvetljava, ",""),IF(CG202&gt;0,"energetsko upravljanje, ",""),IF(CH202&gt;0,"manjši investicijski in organizacijski ukrepi, ",""))</f>
        <v/>
      </c>
      <c r="CM202" s="9">
        <f>+CJ202*0.9</f>
        <v>0</v>
      </c>
      <c r="CN202" s="9">
        <f>+CJ202*0.9</f>
        <v>0</v>
      </c>
      <c r="CO202" s="9">
        <f>+CJ202*0.9</f>
        <v>0</v>
      </c>
      <c r="CP202" s="69">
        <f>+IF(CI202-SUM(CM202:CO202)&lt;0,0,CI202-SUM(CM202:CO202))</f>
        <v>30000</v>
      </c>
      <c r="CQ202" s="9">
        <f>+(BQ202*CE202*faktorji!$B$24)+(BQ202^0.5*CC202*4*4*0.66*faktorji!$B$22)+(BQ202^0.5*CD202*4*4*0.33*faktorji!$B$25)</f>
        <v>0</v>
      </c>
      <c r="CR202" s="3" t="str">
        <f t="shared" si="161"/>
        <v/>
      </c>
      <c r="CS202" s="9">
        <f>+BQ202*('MOL_tabela rezultatov'!CH202*faktorji!$B$26)+faktorji!$B$27*CG202</f>
        <v>0</v>
      </c>
      <c r="CT202" s="3" t="str">
        <f t="shared" si="159"/>
        <v/>
      </c>
      <c r="CU202" s="9">
        <f t="shared" si="127"/>
        <v>0</v>
      </c>
      <c r="CV202" s="9">
        <f t="shared" ref="CV202:CX202" si="179">+CU202</f>
        <v>0</v>
      </c>
      <c r="CW202" s="9">
        <f t="shared" si="179"/>
        <v>0</v>
      </c>
      <c r="CX202" s="69">
        <f t="shared" si="179"/>
        <v>0</v>
      </c>
    </row>
    <row r="203" spans="1:102" s="10" customFormat="1" ht="18" customHeight="1">
      <c r="A203" s="117" t="s">
        <v>704</v>
      </c>
      <c r="B203" s="146" t="s">
        <v>705</v>
      </c>
      <c r="C203" s="57"/>
      <c r="D203" s="57"/>
      <c r="E203" s="51" t="s">
        <v>1176</v>
      </c>
      <c r="F203" s="51"/>
      <c r="G203" s="51">
        <v>2</v>
      </c>
      <c r="H203" s="51" t="s">
        <v>1253</v>
      </c>
      <c r="I203" s="51"/>
      <c r="J203" s="51">
        <v>2</v>
      </c>
      <c r="K203" s="37" t="s">
        <v>1243</v>
      </c>
      <c r="L203" s="50"/>
      <c r="M203" s="4" t="s">
        <v>6</v>
      </c>
      <c r="N203" s="25"/>
      <c r="O203" s="28">
        <v>309.08249999999998</v>
      </c>
      <c r="P203" s="25"/>
      <c r="Q203" s="25"/>
      <c r="R203" s="25"/>
      <c r="S203" s="25"/>
      <c r="T203" s="25">
        <v>58.776000000000003</v>
      </c>
      <c r="U203" s="25">
        <v>367.85849999999999</v>
      </c>
      <c r="V203" s="30">
        <v>47.476575121163172</v>
      </c>
      <c r="W203" s="30">
        <v>249.66276252019387</v>
      </c>
      <c r="X203" s="31"/>
      <c r="Y203" s="31"/>
      <c r="Z203" s="31"/>
      <c r="AA203" s="31"/>
      <c r="AB203" s="31"/>
      <c r="AC203" s="31"/>
      <c r="AD203" s="31"/>
      <c r="AE203" s="32"/>
      <c r="AF203" s="16" t="s">
        <v>706</v>
      </c>
      <c r="AG203" s="3">
        <v>1990</v>
      </c>
      <c r="AH203" s="4"/>
      <c r="AI203" s="6">
        <v>1238</v>
      </c>
      <c r="AJ203" s="38">
        <v>100</v>
      </c>
      <c r="AK203" s="3"/>
      <c r="AL203" s="1" t="s">
        <v>421</v>
      </c>
      <c r="AM203" s="37"/>
      <c r="AN203" s="37"/>
      <c r="AO203" s="37"/>
      <c r="AP203" s="37"/>
      <c r="AQ203" s="37">
        <f>(33807*9.5)/1000</f>
        <v>321.16649999999998</v>
      </c>
      <c r="AR203" s="37">
        <f>(37843*9.5)/1000</f>
        <v>359.50850000000003</v>
      </c>
      <c r="AS203" s="37">
        <f>(28379*9.5)/1000</f>
        <v>269.60050000000001</v>
      </c>
      <c r="AT203" s="37">
        <f>(24820*9.5)/1000</f>
        <v>235.79</v>
      </c>
      <c r="AU203" s="37"/>
      <c r="AV203" s="37"/>
      <c r="AW203" s="37"/>
      <c r="AX203" s="37"/>
      <c r="AY203" s="37"/>
      <c r="AZ203" s="37"/>
      <c r="BA203" s="37"/>
      <c r="BB203" s="37"/>
      <c r="BC203" s="37">
        <v>55.5</v>
      </c>
      <c r="BD203" s="37">
        <v>61.6</v>
      </c>
      <c r="BE203" s="37">
        <v>65</v>
      </c>
      <c r="BF203" s="37">
        <v>97</v>
      </c>
      <c r="BG203" s="42"/>
      <c r="BH203" s="42">
        <v>296.51637499999998</v>
      </c>
      <c r="BI203" s="42"/>
      <c r="BJ203" s="42"/>
      <c r="BK203" s="44">
        <v>296.51637499999998</v>
      </c>
      <c r="BL203" s="44">
        <v>69.775000000000006</v>
      </c>
      <c r="BM203" s="44">
        <f>+BK203+BL203</f>
        <v>366.29137500000002</v>
      </c>
      <c r="BN203" s="47">
        <v>211.79741071428572</v>
      </c>
      <c r="BO203" s="47">
        <v>49.839285714285715</v>
      </c>
      <c r="BP203" s="45">
        <v>261.63669642857144</v>
      </c>
      <c r="BQ203" s="9">
        <v>1400</v>
      </c>
      <c r="BR203" s="4">
        <v>248</v>
      </c>
      <c r="BS203" s="4">
        <v>1990</v>
      </c>
      <c r="BT203" s="4" t="s">
        <v>872</v>
      </c>
      <c r="BU203" s="4" t="s">
        <v>914</v>
      </c>
      <c r="BV203" s="4" t="s">
        <v>870</v>
      </c>
      <c r="BW203" s="4"/>
      <c r="BX203" s="4"/>
      <c r="BY203" s="9">
        <f>+INT(BK203*faktorji!$B$5)</f>
        <v>28169</v>
      </c>
      <c r="BZ203" s="9">
        <f>+INT(BL203*faktorji!$B$4)</f>
        <v>11512</v>
      </c>
      <c r="CA203" s="3" t="s">
        <v>1304</v>
      </c>
      <c r="CB203" s="4">
        <v>1</v>
      </c>
      <c r="CC203" s="4">
        <v>0</v>
      </c>
      <c r="CD203" s="4">
        <v>0</v>
      </c>
      <c r="CE203" s="4">
        <v>1</v>
      </c>
      <c r="CF203" s="4">
        <v>1</v>
      </c>
      <c r="CG203" s="4">
        <v>1</v>
      </c>
      <c r="CH203" s="4">
        <v>1</v>
      </c>
      <c r="CI203" s="9">
        <f>+BQ203*(CB203*faktorji!$B$21+'MOL_tabela rezultatov'!CF260*faktorji!$B$23+'MOL_tabela rezultatov'!CH260*faktorji!$B$26)+faktorji!$B$27*CG203</f>
        <v>62100</v>
      </c>
      <c r="CJ203" s="9">
        <f>+(BZ203*CF203*faktorji!$B$18)+(CG203*faktorji!$B$17*('MOL_tabela rezultatov'!BY260+'MOL_tabela rezultatov'!BZ260))+('MOL_tabela rezultatov'!CH260*faktorji!$B$16*'MOL_tabela rezultatov'!BY260)+('MOL_tabela rezultatov'!CB260*faktorji!$B$12*'MOL_tabela rezultatov'!BY260)</f>
        <v>18098.400000000001</v>
      </c>
      <c r="CK203" s="66">
        <f>+CI203/CJ203</f>
        <v>3.431242540777085</v>
      </c>
      <c r="CL203" s="3" t="str">
        <f>CONCATENATE(IF(CB203&gt;0,"kotlovnica/toplotna postaja, ",""),IF(CF203&gt;0,"razsvetljava, ",""),IF(CG203&gt;0,"energetsko upravljanje, ",""),IF(CH203&gt;0,"manjši investicijski in organizacijski ukrepi, ",""))</f>
        <v xml:space="preserve">kotlovnica/toplotna postaja, razsvetljava, energetsko upravljanje, manjši investicijski in organizacijski ukrepi, </v>
      </c>
      <c r="CM203" s="9">
        <f>+CJ203*0.9</f>
        <v>16288.560000000001</v>
      </c>
      <c r="CN203" s="9">
        <f>+CJ203*0.9</f>
        <v>16288.560000000001</v>
      </c>
      <c r="CO203" s="9">
        <f>+CJ203*0.9</f>
        <v>16288.560000000001</v>
      </c>
      <c r="CP203" s="69">
        <f>+IF(CI203-SUM(CM203:CO203)&lt;0,0,CI203-SUM(CM203:CO203))</f>
        <v>13234.319999999992</v>
      </c>
      <c r="CQ203" s="9">
        <f>+(BQ203*CE203*faktorji!$B$24)+(BQ203^0.5*CC203*4*4*0.66*faktorji!$B$22)+(BQ203^0.5*CD203*4*4*0.33*faktorji!$B$25)</f>
        <v>28000</v>
      </c>
      <c r="CR203" s="3" t="str">
        <f t="shared" si="161"/>
        <v xml:space="preserve">izolacija podstrešja, </v>
      </c>
      <c r="CS203" s="9">
        <f>+BQ203*('MOL_tabela rezultatov'!CH203*faktorji!$B$26)+faktorji!$B$27*CG203</f>
        <v>20100</v>
      </c>
      <c r="CT203" s="3" t="str">
        <f t="shared" si="159"/>
        <v xml:space="preserve">energetsko upravljanje, manjši investicijski in organizacijski ukrepi, </v>
      </c>
      <c r="CU203" s="9">
        <f t="shared" si="127"/>
        <v>5025</v>
      </c>
      <c r="CV203" s="9">
        <f t="shared" ref="CV203:CX203" si="180">+CU203</f>
        <v>5025</v>
      </c>
      <c r="CW203" s="9">
        <f t="shared" si="180"/>
        <v>5025</v>
      </c>
      <c r="CX203" s="69">
        <f t="shared" si="180"/>
        <v>5025</v>
      </c>
    </row>
    <row r="204" spans="1:102" s="10" customFormat="1" ht="18" hidden="1" customHeight="1">
      <c r="A204" s="53" t="s">
        <v>831</v>
      </c>
      <c r="B204" s="2" t="s">
        <v>832</v>
      </c>
      <c r="C204" s="57"/>
      <c r="D204" s="57"/>
      <c r="E204" s="51" t="s">
        <v>1176</v>
      </c>
      <c r="F204" s="51"/>
      <c r="G204" s="51">
        <v>2</v>
      </c>
      <c r="H204" s="51" t="s">
        <v>1254</v>
      </c>
      <c r="I204" s="51"/>
      <c r="J204" s="51">
        <v>2</v>
      </c>
      <c r="K204" s="37" t="s">
        <v>1243</v>
      </c>
      <c r="L204" s="50"/>
      <c r="M204" s="4" t="s">
        <v>5</v>
      </c>
      <c r="N204" s="25">
        <v>67</v>
      </c>
      <c r="O204" s="25"/>
      <c r="P204" s="25"/>
      <c r="Q204" s="25"/>
      <c r="R204" s="25"/>
      <c r="S204" s="25"/>
      <c r="T204" s="25">
        <v>17.192</v>
      </c>
      <c r="U204" s="25">
        <v>84.192000000000007</v>
      </c>
      <c r="V204" s="30">
        <v>15.948051948051948</v>
      </c>
      <c r="W204" s="30">
        <v>62.152133580705012</v>
      </c>
      <c r="X204" s="31"/>
      <c r="Y204" s="31"/>
      <c r="Z204" s="31"/>
      <c r="AA204" s="31"/>
      <c r="AB204" s="31"/>
      <c r="AC204" s="31"/>
      <c r="AD204" s="31"/>
      <c r="AE204" s="32"/>
      <c r="AF204" s="16"/>
      <c r="AG204" s="3"/>
      <c r="AH204" s="4"/>
      <c r="AI204" s="6">
        <v>1078</v>
      </c>
      <c r="AJ204" s="38">
        <v>100</v>
      </c>
      <c r="AK204" s="3"/>
      <c r="AL204" s="1" t="s">
        <v>833</v>
      </c>
      <c r="AM204" s="37">
        <f>158+111.2</f>
        <v>269.2</v>
      </c>
      <c r="AN204" s="37">
        <f>157+106.8</f>
        <v>263.8</v>
      </c>
      <c r="AO204" s="37">
        <f>134+112.2</f>
        <v>246.2</v>
      </c>
      <c r="AP204" s="37">
        <f>110+63.4</f>
        <v>173.4</v>
      </c>
      <c r="AQ204" s="37"/>
      <c r="AR204" s="37"/>
      <c r="AS204" s="37"/>
      <c r="AT204" s="37"/>
      <c r="AU204" s="37"/>
      <c r="AV204" s="37"/>
      <c r="AW204" s="37"/>
      <c r="AX204" s="37"/>
      <c r="AY204" s="37"/>
      <c r="AZ204" s="37"/>
      <c r="BA204" s="37"/>
      <c r="BB204" s="37"/>
      <c r="BC204" s="37">
        <v>78.099999999999994</v>
      </c>
      <c r="BD204" s="37">
        <v>78</v>
      </c>
      <c r="BE204" s="37">
        <v>74.400000000000006</v>
      </c>
      <c r="BF204" s="37">
        <v>74.900000000000006</v>
      </c>
      <c r="BG204" s="42">
        <v>238.15</v>
      </c>
      <c r="BH204" s="42"/>
      <c r="BI204" s="42"/>
      <c r="BJ204" s="42"/>
      <c r="BK204" s="44">
        <v>238.15</v>
      </c>
      <c r="BL204" s="44">
        <v>76.349999999999994</v>
      </c>
      <c r="BM204" s="44">
        <f>+BK204+BL204</f>
        <v>314.5</v>
      </c>
      <c r="BN204" s="47">
        <v>373.27586206896552</v>
      </c>
      <c r="BO204" s="47">
        <v>119.67084639498432</v>
      </c>
      <c r="BP204" s="45">
        <v>492.94670846394985</v>
      </c>
      <c r="BQ204" s="9">
        <v>638</v>
      </c>
      <c r="BR204" s="4"/>
      <c r="BS204" s="4" t="s">
        <v>987</v>
      </c>
      <c r="BT204" s="4" t="s">
        <v>872</v>
      </c>
      <c r="BU204" s="4"/>
      <c r="BV204" s="4" t="s">
        <v>921</v>
      </c>
      <c r="BW204" s="4" t="s">
        <v>431</v>
      </c>
      <c r="BX204" s="4" t="s">
        <v>988</v>
      </c>
      <c r="BY204" s="9">
        <f>+INT(BK204*faktorji!$B$3)</f>
        <v>15479</v>
      </c>
      <c r="BZ204" s="9">
        <f>+INT(BL204*faktorji!$B$4)</f>
        <v>12597</v>
      </c>
      <c r="CA204" s="3" t="s">
        <v>1304</v>
      </c>
      <c r="CB204" s="4">
        <v>0</v>
      </c>
      <c r="CC204" s="4">
        <v>1</v>
      </c>
      <c r="CD204" s="4">
        <v>1</v>
      </c>
      <c r="CE204" s="4">
        <v>0</v>
      </c>
      <c r="CF204" s="4">
        <v>1</v>
      </c>
      <c r="CG204" s="4">
        <v>1</v>
      </c>
      <c r="CH204" s="4">
        <v>1</v>
      </c>
      <c r="CI204" s="9">
        <f>+BQ204*(CB204*faktorji!$B$21+'MOL_tabela rezultatov'!CF302*faktorji!$B$23+'MOL_tabela rezultatov'!CH302*faktorji!$B$26)+faktorji!$B$27*CG204</f>
        <v>18957</v>
      </c>
      <c r="CJ204" s="9">
        <f>+(BZ204*CF204*faktorji!$B$18)+(CG204*faktorji!$B$17*('MOL_tabela rezultatov'!BY302+'MOL_tabela rezultatov'!BZ302))+('MOL_tabela rezultatov'!CH302*faktorji!$B$16*'MOL_tabela rezultatov'!BY302)+('MOL_tabela rezultatov'!CB302*faktorji!$B$12*'MOL_tabela rezultatov'!BY302)</f>
        <v>1889.55</v>
      </c>
      <c r="CK204" s="66">
        <f>+CI204/CJ204</f>
        <v>10.032547431928236</v>
      </c>
      <c r="CL204" s="3" t="str">
        <f>CONCATENATE(IF(CB204&gt;0,"kotlovnica/toplotna postaja, ",""),IF(CF204&gt;0,"razsvetljava, ",""),IF(CG204&gt;0,"energetsko upravljanje, ",""),IF(CH204&gt;0,"manjši investicijski in organizacijski ukrepi, ",""))</f>
        <v xml:space="preserve">razsvetljava, energetsko upravljanje, manjši investicijski in organizacijski ukrepi, </v>
      </c>
      <c r="CM204" s="9">
        <f>+CJ204*0.9</f>
        <v>1700.595</v>
      </c>
      <c r="CN204" s="9">
        <f>+CJ204*0.9</f>
        <v>1700.595</v>
      </c>
      <c r="CO204" s="9">
        <f>+CJ204*0.9</f>
        <v>1700.595</v>
      </c>
      <c r="CP204" s="69">
        <f>+IF(CI204-SUM(CM204:CO204)&lt;0,0,CI204-SUM(CM204:CO204))</f>
        <v>13855.215</v>
      </c>
      <c r="CQ204" s="9">
        <f>+(BQ204*CE204*faktorji!$B$24)+(BQ204^0.5*CC204*4*4*0.66*faktorji!$B$22)+(BQ204^0.5*CD204*4*4*0.33*faktorji!$B$25)</f>
        <v>52012.636544593654</v>
      </c>
      <c r="CR204" s="3" t="str">
        <f t="shared" si="161"/>
        <v xml:space="preserve">izolacija ovoja, stavbno pohištvo, </v>
      </c>
      <c r="CS204" s="9">
        <f>+BQ204*('MOL_tabela rezultatov'!CH204*faktorji!$B$26)+faktorji!$B$27*CG204</f>
        <v>18957</v>
      </c>
      <c r="CT204" s="3" t="str">
        <f t="shared" si="159"/>
        <v xml:space="preserve">energetsko upravljanje, manjši investicijski in organizacijski ukrepi, </v>
      </c>
      <c r="CU204" s="9">
        <f t="shared" si="127"/>
        <v>4739.25</v>
      </c>
      <c r="CV204" s="9">
        <f t="shared" ref="CV204:CX204" si="181">+CU204</f>
        <v>4739.25</v>
      </c>
      <c r="CW204" s="9">
        <f t="shared" si="181"/>
        <v>4739.25</v>
      </c>
      <c r="CX204" s="69">
        <f t="shared" si="181"/>
        <v>4739.25</v>
      </c>
    </row>
    <row r="205" spans="1:102" s="10" customFormat="1" ht="18" hidden="1" customHeight="1">
      <c r="A205" s="53" t="s">
        <v>286</v>
      </c>
      <c r="B205" s="2" t="s">
        <v>287</v>
      </c>
      <c r="C205" s="57"/>
      <c r="D205" s="57"/>
      <c r="E205" s="51" t="s">
        <v>1174</v>
      </c>
      <c r="F205" s="51"/>
      <c r="G205" s="51">
        <v>4</v>
      </c>
      <c r="H205" s="51"/>
      <c r="I205" s="51"/>
      <c r="J205" s="51">
        <v>7</v>
      </c>
      <c r="K205" s="37" t="s">
        <v>1241</v>
      </c>
      <c r="L205" s="50"/>
      <c r="M205" s="1" t="s">
        <v>1186</v>
      </c>
      <c r="N205" s="25"/>
      <c r="O205" s="25"/>
      <c r="P205" s="25"/>
      <c r="Q205" s="25">
        <v>5.4794999999999998</v>
      </c>
      <c r="R205" s="25"/>
      <c r="S205" s="25"/>
      <c r="T205" s="25">
        <v>5.4794999999999998</v>
      </c>
      <c r="U205" s="25">
        <v>5.4794999999999998</v>
      </c>
      <c r="V205" s="30">
        <v>53.752207180694526</v>
      </c>
      <c r="W205" s="30">
        <v>53.752207180694526</v>
      </c>
      <c r="X205" s="31"/>
      <c r="Y205" s="31"/>
      <c r="Z205" s="31"/>
      <c r="AA205" s="31"/>
      <c r="AB205" s="31"/>
      <c r="AC205" s="31">
        <v>12.28</v>
      </c>
      <c r="AD205" s="31"/>
      <c r="AE205" s="32">
        <v>0</v>
      </c>
      <c r="AF205" s="1"/>
      <c r="AG205" s="4"/>
      <c r="AH205" s="4">
        <v>1</v>
      </c>
      <c r="AI205" s="14">
        <v>101.94</v>
      </c>
      <c r="AJ205" s="38">
        <v>100</v>
      </c>
      <c r="AK205" s="16" t="s">
        <v>288</v>
      </c>
      <c r="AL205" s="1"/>
      <c r="AM205" s="37"/>
      <c r="AN205" s="37"/>
      <c r="AO205" s="37"/>
      <c r="AP205" s="37"/>
      <c r="AQ205" s="37"/>
      <c r="AR205" s="37"/>
      <c r="AS205" s="37"/>
      <c r="AT205" s="37"/>
      <c r="AU205" s="37"/>
      <c r="AV205" s="37"/>
      <c r="AW205" s="37"/>
      <c r="AX205" s="37"/>
      <c r="AY205" s="37"/>
      <c r="AZ205" s="37"/>
      <c r="BA205" s="37"/>
      <c r="BB205" s="37"/>
      <c r="BC205" s="37"/>
      <c r="BD205" s="37"/>
      <c r="BE205" s="37"/>
      <c r="BF205" s="37"/>
      <c r="BG205" s="42"/>
      <c r="BH205" s="42">
        <v>13.262393999999999</v>
      </c>
      <c r="BI205" s="42"/>
      <c r="BJ205" s="42"/>
      <c r="BK205" s="44">
        <v>13.262393999999999</v>
      </c>
      <c r="BL205" s="44">
        <v>5.48</v>
      </c>
      <c r="BM205" s="44">
        <f>+BK205+BL205</f>
        <v>18.742393999999997</v>
      </c>
      <c r="BN205" s="47">
        <v>130.1</v>
      </c>
      <c r="BO205" s="47">
        <v>53.757112026682364</v>
      </c>
      <c r="BP205" s="45">
        <v>183.85711202668233</v>
      </c>
      <c r="BQ205" s="14">
        <v>101.94</v>
      </c>
      <c r="BR205" s="4"/>
      <c r="BS205" s="4"/>
      <c r="BT205" s="4"/>
      <c r="BU205" s="4"/>
      <c r="BV205" s="4"/>
      <c r="BW205" s="4"/>
      <c r="BX205" s="4"/>
      <c r="BY205" s="9">
        <f>+INT(BK205*faktorji!$B$4)</f>
        <v>2188</v>
      </c>
      <c r="BZ205" s="9">
        <f>+INT(BL205*faktorji!$B$4)</f>
        <v>904</v>
      </c>
      <c r="CA205" s="4"/>
      <c r="CB205" s="4">
        <v>0</v>
      </c>
      <c r="CC205" s="4">
        <v>0</v>
      </c>
      <c r="CD205" s="4">
        <v>0</v>
      </c>
      <c r="CE205" s="4">
        <v>0</v>
      </c>
      <c r="CF205" s="4">
        <v>1</v>
      </c>
      <c r="CG205" s="4">
        <v>1</v>
      </c>
      <c r="CH205" s="4">
        <v>1</v>
      </c>
      <c r="CI205" s="9">
        <f>+BQ205*(CB205*faktorji!$B$21+'MOL_tabela rezultatov'!CF111*faktorji!$B$23+'MOL_tabela rezultatov'!CH111*faktorji!$B$26)+faktorji!$B$27*CG205</f>
        <v>19682.009999999998</v>
      </c>
      <c r="CJ205" s="9">
        <f>+(BZ205*CF205*faktorji!$B$18)+(CG205*faktorji!$B$17*('MOL_tabela rezultatov'!BY111+'MOL_tabela rezultatov'!BZ111))+('MOL_tabela rezultatov'!CH111*faktorji!$B$16*'MOL_tabela rezultatov'!BY111)+('MOL_tabela rezultatov'!CB111*faktorji!$B$12*'MOL_tabela rezultatov'!BY111)</f>
        <v>4128.2</v>
      </c>
      <c r="CK205" s="66">
        <f>+CI205/CJ205</f>
        <v>4.7676977859599825</v>
      </c>
      <c r="CL205" s="3" t="str">
        <f>CONCATENATE(IF(CB205&gt;0,"kotlovnica/toplotna postaja, ",""),IF(CF205&gt;0,"razsvetljava, ",""),IF(CG205&gt;0,"energetsko upravljanje, ",""),IF(CH205&gt;0,"manjši investicijski in organizacijski ukrepi, ",""))</f>
        <v xml:space="preserve">razsvetljava, energetsko upravljanje, manjši investicijski in organizacijski ukrepi, </v>
      </c>
      <c r="CM205" s="9">
        <f>+CJ205*0.9</f>
        <v>3715.38</v>
      </c>
      <c r="CN205" s="9">
        <f>+CJ205*0.9</f>
        <v>3715.38</v>
      </c>
      <c r="CO205" s="9">
        <f>+CJ205*0.9</f>
        <v>3715.38</v>
      </c>
      <c r="CP205" s="69">
        <f>+IF(CI205-SUM(CM205:CO205)&lt;0,0,CI205-SUM(CM205:CO205))</f>
        <v>8535.869999999999</v>
      </c>
      <c r="CQ205" s="9">
        <f>+(BQ205*CE205*faktorji!$B$24)+(BQ205^0.5*CC205*4*4*0.66*faktorji!$B$22)+(BQ205^0.5*CD205*4*4*0.33*faktorji!$B$25)</f>
        <v>0</v>
      </c>
      <c r="CR205" s="3" t="str">
        <f t="shared" si="161"/>
        <v/>
      </c>
      <c r="CS205" s="9">
        <f>+BQ205*('MOL_tabela rezultatov'!CH205*faktorji!$B$26)+faktorji!$B$27*CG205</f>
        <v>18152.91</v>
      </c>
      <c r="CT205" s="3" t="str">
        <f t="shared" si="159"/>
        <v xml:space="preserve">energetsko upravljanje, manjši investicijski in organizacijski ukrepi, </v>
      </c>
      <c r="CU205" s="9">
        <f t="shared" si="127"/>
        <v>4538.2275</v>
      </c>
      <c r="CV205" s="9">
        <f t="shared" ref="CV205:CX205" si="182">+CU205</f>
        <v>4538.2275</v>
      </c>
      <c r="CW205" s="9">
        <f t="shared" si="182"/>
        <v>4538.2275</v>
      </c>
      <c r="CX205" s="69">
        <f t="shared" si="182"/>
        <v>4538.2275</v>
      </c>
    </row>
    <row r="206" spans="1:102" s="10" customFormat="1" ht="18" hidden="1" customHeight="1">
      <c r="A206" s="53" t="s">
        <v>753</v>
      </c>
      <c r="B206" s="2" t="s">
        <v>754</v>
      </c>
      <c r="C206" s="57"/>
      <c r="D206" s="57"/>
      <c r="E206" s="51" t="s">
        <v>1176</v>
      </c>
      <c r="F206" s="51"/>
      <c r="G206" s="51">
        <v>2</v>
      </c>
      <c r="H206" s="71" t="s">
        <v>1255</v>
      </c>
      <c r="I206" s="71"/>
      <c r="J206" s="51">
        <v>1</v>
      </c>
      <c r="K206" s="37" t="s">
        <v>1242</v>
      </c>
      <c r="L206" s="50"/>
      <c r="M206" s="110" t="s">
        <v>5</v>
      </c>
      <c r="N206" s="28">
        <v>124</v>
      </c>
      <c r="O206" s="25"/>
      <c r="P206" s="25"/>
      <c r="Q206" s="25"/>
      <c r="R206" s="25"/>
      <c r="S206" s="25"/>
      <c r="T206" s="25">
        <v>14.742000000000001</v>
      </c>
      <c r="U206" s="25">
        <v>138.74199999999999</v>
      </c>
      <c r="V206" s="30">
        <v>18.803571428571431</v>
      </c>
      <c r="W206" s="30">
        <v>158.16326530612244</v>
      </c>
      <c r="X206" s="31"/>
      <c r="Y206" s="31"/>
      <c r="Z206" s="31"/>
      <c r="AA206" s="31"/>
      <c r="AB206" s="31"/>
      <c r="AC206" s="31"/>
      <c r="AD206" s="31"/>
      <c r="AE206" s="32"/>
      <c r="AF206" s="16" t="s">
        <v>468</v>
      </c>
      <c r="AG206" s="3"/>
      <c r="AH206" s="4"/>
      <c r="AI206" s="6">
        <v>784</v>
      </c>
      <c r="AJ206" s="38">
        <v>100</v>
      </c>
      <c r="AK206" s="3"/>
      <c r="AL206" s="1" t="s">
        <v>755</v>
      </c>
      <c r="AM206" s="39">
        <v>138.69999999999999</v>
      </c>
      <c r="AN206" s="39">
        <v>114.8</v>
      </c>
      <c r="AO206" s="39">
        <v>104.9</v>
      </c>
      <c r="AP206" s="39">
        <v>106.7</v>
      </c>
      <c r="AQ206" s="37"/>
      <c r="AR206" s="37"/>
      <c r="AS206" s="37"/>
      <c r="AT206" s="37"/>
      <c r="AU206" s="37"/>
      <c r="AV206" s="37"/>
      <c r="AW206" s="37"/>
      <c r="AX206" s="37"/>
      <c r="AY206" s="37"/>
      <c r="AZ206" s="37"/>
      <c r="BA206" s="37"/>
      <c r="BB206" s="37"/>
      <c r="BC206" s="37"/>
      <c r="BD206" s="37"/>
      <c r="BE206" s="37"/>
      <c r="BF206" s="37"/>
      <c r="BG206" s="42">
        <v>116.27499999999999</v>
      </c>
      <c r="BH206" s="42"/>
      <c r="BI206" s="42"/>
      <c r="BJ206" s="42"/>
      <c r="BK206" s="107">
        <v>126.9</v>
      </c>
      <c r="BL206" s="107">
        <v>22.4</v>
      </c>
      <c r="BM206" s="107">
        <f>+BK206+BL206</f>
        <v>149.30000000000001</v>
      </c>
      <c r="BN206" s="108">
        <f>+BK206*1000/BQ206</f>
        <v>191.69184290030211</v>
      </c>
      <c r="BO206" s="108">
        <f>+BL206*1000/BQ206</f>
        <v>33.836858006042299</v>
      </c>
      <c r="BP206" s="109">
        <f>+BO206+BN206</f>
        <v>225.5287009063444</v>
      </c>
      <c r="BQ206" s="106">
        <v>662</v>
      </c>
      <c r="BR206" s="110">
        <v>82</v>
      </c>
      <c r="BS206" s="110">
        <v>2009</v>
      </c>
      <c r="BT206" s="110" t="s">
        <v>940</v>
      </c>
      <c r="BU206" s="4"/>
      <c r="BV206" s="1" t="s">
        <v>939</v>
      </c>
      <c r="BW206" s="4"/>
      <c r="BX206" s="4"/>
      <c r="BY206" s="106">
        <v>7500</v>
      </c>
      <c r="BZ206" s="106">
        <v>3700</v>
      </c>
      <c r="CA206" s="114" t="s">
        <v>1326</v>
      </c>
      <c r="CB206" s="4">
        <v>0</v>
      </c>
      <c r="CC206" s="4">
        <v>0</v>
      </c>
      <c r="CD206" s="4">
        <v>0</v>
      </c>
      <c r="CE206" s="4">
        <v>0</v>
      </c>
      <c r="CF206" s="4">
        <v>1</v>
      </c>
      <c r="CG206" s="4">
        <v>1</v>
      </c>
      <c r="CH206" s="4">
        <v>1</v>
      </c>
      <c r="CI206" s="106">
        <f>79750-64450+12350</f>
        <v>27650</v>
      </c>
      <c r="CJ206" s="106">
        <f>+(BZ206*CF206*faktorji!$B$18)+(CG206*faktorji!$B$17*('MOL_tabela rezultatov'!BY274+'MOL_tabela rezultatov'!BZ274))+('MOL_tabela rezultatov'!CH274*faktorji!$B$16*'MOL_tabela rezultatov'!BY274)+('MOL_tabela rezultatov'!CB274*faktorji!$B$12*'MOL_tabela rezultatov'!BY274)</f>
        <v>1986.7000000000003</v>
      </c>
      <c r="CK206" s="115">
        <f>+CI206/CJ206</f>
        <v>13.917551718930888</v>
      </c>
      <c r="CL206" s="3" t="str">
        <f>CONCATENATE(IF(CB206&gt;0,"kotlovnica/toplotna postaja, ",""),IF(CF206&gt;0,"razsvetljava, ",""),IF(CG206&gt;0,"energetsko upravljanje, ",""),IF(CH206&gt;0,"manjši investicijski in organizacijski ukrepi, ",""))</f>
        <v xml:space="preserve">razsvetljava, energetsko upravljanje, manjši investicijski in organizacijski ukrepi, </v>
      </c>
      <c r="CM206" s="9">
        <f>+CJ206*0.9</f>
        <v>1788.0300000000002</v>
      </c>
      <c r="CN206" s="9">
        <f>+CJ206*0.9</f>
        <v>1788.0300000000002</v>
      </c>
      <c r="CO206" s="9">
        <f>+CJ206*0.9</f>
        <v>1788.0300000000002</v>
      </c>
      <c r="CP206" s="69">
        <f>+IF(CI206-SUM(CM206:CO206)&lt;0,0,CI206-SUM(CM206:CO206))</f>
        <v>22285.91</v>
      </c>
      <c r="CQ206" s="9">
        <f>+(BQ206*CE206*faktorji!$B$24)+(BQ206^0.5*CC206*4*4*0.66*faktorji!$B$22)+(BQ206^0.5*CD206*4*4*0.33*faktorji!$B$25)</f>
        <v>0</v>
      </c>
      <c r="CR206" s="3" t="str">
        <f t="shared" si="161"/>
        <v/>
      </c>
      <c r="CS206" s="9">
        <f>+BQ206*('MOL_tabela rezultatov'!CH206*faktorji!$B$26)+faktorji!$B$27*CG206</f>
        <v>18993</v>
      </c>
      <c r="CT206" s="3" t="str">
        <f t="shared" si="159"/>
        <v xml:space="preserve">energetsko upravljanje, manjši investicijski in organizacijski ukrepi, </v>
      </c>
      <c r="CU206" s="9">
        <f t="shared" si="127"/>
        <v>4748.25</v>
      </c>
      <c r="CV206" s="9">
        <f t="shared" ref="CV206:CX206" si="183">+CU206</f>
        <v>4748.25</v>
      </c>
      <c r="CW206" s="9">
        <f t="shared" si="183"/>
        <v>4748.25</v>
      </c>
      <c r="CX206" s="69">
        <f t="shared" si="183"/>
        <v>4748.25</v>
      </c>
    </row>
    <row r="207" spans="1:102" s="10" customFormat="1" ht="18" hidden="1" customHeight="1">
      <c r="A207" s="54" t="s">
        <v>314</v>
      </c>
      <c r="B207" s="3" t="s">
        <v>315</v>
      </c>
      <c r="C207" s="56"/>
      <c r="D207" s="56"/>
      <c r="E207" s="51" t="s">
        <v>1174</v>
      </c>
      <c r="F207" s="51"/>
      <c r="G207" s="51">
        <v>4</v>
      </c>
      <c r="H207" s="51"/>
      <c r="I207" s="51"/>
      <c r="J207" s="51">
        <v>7</v>
      </c>
      <c r="K207" s="37" t="s">
        <v>1241</v>
      </c>
      <c r="L207" s="50"/>
      <c r="M207" s="4" t="s">
        <v>6</v>
      </c>
      <c r="N207" s="25"/>
      <c r="O207" s="25">
        <v>17.745294041356889</v>
      </c>
      <c r="P207" s="25"/>
      <c r="Q207" s="25"/>
      <c r="R207" s="25"/>
      <c r="S207" s="25"/>
      <c r="T207" s="25">
        <v>3.3253732924770949</v>
      </c>
      <c r="U207" s="25">
        <v>21.070667333833985</v>
      </c>
      <c r="V207" s="30">
        <v>26.602986339816759</v>
      </c>
      <c r="W207" s="30">
        <v>141.96235233085511</v>
      </c>
      <c r="X207" s="31"/>
      <c r="Y207" s="31"/>
      <c r="Z207" s="31"/>
      <c r="AA207" s="31"/>
      <c r="AB207" s="31"/>
      <c r="AC207" s="31"/>
      <c r="AD207" s="31"/>
      <c r="AE207" s="32"/>
      <c r="AF207" s="1"/>
      <c r="AG207" s="4"/>
      <c r="AH207" s="4"/>
      <c r="AI207" s="6">
        <v>125</v>
      </c>
      <c r="AJ207" s="38"/>
      <c r="AK207" s="3"/>
      <c r="AL207" s="1"/>
      <c r="AM207" s="37"/>
      <c r="AN207" s="37"/>
      <c r="AO207" s="37"/>
      <c r="AP207" s="37"/>
      <c r="AQ207" s="37"/>
      <c r="AR207" s="37"/>
      <c r="AS207" s="37"/>
      <c r="AT207" s="37"/>
      <c r="AU207" s="37"/>
      <c r="AV207" s="37"/>
      <c r="AW207" s="37"/>
      <c r="AX207" s="37"/>
      <c r="AY207" s="37"/>
      <c r="AZ207" s="37"/>
      <c r="BA207" s="37"/>
      <c r="BB207" s="37"/>
      <c r="BC207" s="37"/>
      <c r="BD207" s="37"/>
      <c r="BE207" s="37"/>
      <c r="BF207" s="37"/>
      <c r="BG207" s="42"/>
      <c r="BH207" s="42"/>
      <c r="BI207" s="42">
        <v>16.262499999999999</v>
      </c>
      <c r="BJ207" s="42"/>
      <c r="BK207" s="44">
        <v>16.262499999999999</v>
      </c>
      <c r="BL207" s="44">
        <v>2.9375</v>
      </c>
      <c r="BM207" s="44">
        <f>+BK207+BL207</f>
        <v>19.2</v>
      </c>
      <c r="BN207" s="47">
        <v>130.1</v>
      </c>
      <c r="BO207" s="47">
        <v>23.5</v>
      </c>
      <c r="BP207" s="45">
        <v>153.6</v>
      </c>
      <c r="BQ207" s="6">
        <v>125</v>
      </c>
      <c r="BR207" s="4"/>
      <c r="BS207" s="4"/>
      <c r="BT207" s="4"/>
      <c r="BU207" s="4"/>
      <c r="BV207" s="4"/>
      <c r="BW207" s="4"/>
      <c r="BX207" s="4"/>
      <c r="BY207" s="9">
        <f>+INT(BK207*faktorji!$B$5)</f>
        <v>1544</v>
      </c>
      <c r="BZ207" s="9">
        <f>+INT(BL207*faktorji!$B$4)</f>
        <v>484</v>
      </c>
      <c r="CA207" s="4"/>
      <c r="CB207" s="4">
        <v>0</v>
      </c>
      <c r="CC207" s="4">
        <v>0</v>
      </c>
      <c r="CD207" s="4">
        <v>0</v>
      </c>
      <c r="CE207" s="4">
        <v>0</v>
      </c>
      <c r="CF207" s="4">
        <v>1</v>
      </c>
      <c r="CG207" s="4">
        <v>1</v>
      </c>
      <c r="CH207" s="4">
        <v>1</v>
      </c>
      <c r="CI207" s="9">
        <f>+BQ207*(CB207*faktorji!$B$21+'MOL_tabela rezultatov'!CF124*faktorji!$B$23+'MOL_tabela rezultatov'!CH124*faktorji!$B$26)+faktorji!$B$27*CG207</f>
        <v>18187.5</v>
      </c>
      <c r="CJ207" s="9">
        <f>+(BZ207*CF207*faktorji!$B$18)+(CG207*faktorji!$B$17*('MOL_tabela rezultatov'!BY124+'MOL_tabela rezultatov'!BZ124))+('MOL_tabela rezultatov'!CH124*faktorji!$B$16*'MOL_tabela rezultatov'!BY124)+('MOL_tabela rezultatov'!CB124*faktorji!$B$12*'MOL_tabela rezultatov'!BY124)</f>
        <v>9220.3000000000011</v>
      </c>
      <c r="CK207" s="66">
        <f>+CI207/CJ207</f>
        <v>1.9725497001182173</v>
      </c>
      <c r="CL207" s="3" t="str">
        <f>CONCATENATE(IF(CB207&gt;0,"kotlovnica/toplotna postaja, ",""),IF(CF207&gt;0,"razsvetljava, ",""),IF(CG207&gt;0,"energetsko upravljanje, ",""),IF(CH207&gt;0,"manjši investicijski in organizacijski ukrepi, ",""))</f>
        <v xml:space="preserve">razsvetljava, energetsko upravljanje, manjši investicijski in organizacijski ukrepi, </v>
      </c>
      <c r="CM207" s="9">
        <f>+CJ207*0.9</f>
        <v>8298.27</v>
      </c>
      <c r="CN207" s="9">
        <f>+CJ207*0.9</f>
        <v>8298.27</v>
      </c>
      <c r="CO207" s="9">
        <f>+CJ207*0.9</f>
        <v>8298.27</v>
      </c>
      <c r="CP207" s="69">
        <f>+IF(CI207-SUM(CM207:CO207)&lt;0,0,CI207-SUM(CM207:CO207))</f>
        <v>0</v>
      </c>
      <c r="CQ207" s="9">
        <f>+(BQ207*CE207*faktorji!$B$24)+(BQ207^0.5*CC207*4*4*0.66*faktorji!$B$22)+(BQ207^0.5*CD207*4*4*0.33*faktorji!$B$25)</f>
        <v>0</v>
      </c>
      <c r="CR207" s="3" t="str">
        <f t="shared" si="161"/>
        <v/>
      </c>
      <c r="CS207" s="9">
        <f>+BQ207*('MOL_tabela rezultatov'!CH207*faktorji!$B$26)+faktorji!$B$27*CG207</f>
        <v>18187.5</v>
      </c>
      <c r="CT207" s="3" t="str">
        <f t="shared" si="159"/>
        <v xml:space="preserve">energetsko upravljanje, manjši investicijski in organizacijski ukrepi, </v>
      </c>
      <c r="CU207" s="9">
        <f t="shared" si="127"/>
        <v>4546.875</v>
      </c>
      <c r="CV207" s="9">
        <f t="shared" ref="CV207:CX207" si="184">+CU207</f>
        <v>4546.875</v>
      </c>
      <c r="CW207" s="9">
        <f t="shared" si="184"/>
        <v>4546.875</v>
      </c>
      <c r="CX207" s="69">
        <f t="shared" si="184"/>
        <v>4546.875</v>
      </c>
    </row>
    <row r="208" spans="1:102" s="10" customFormat="1" ht="18" hidden="1" customHeight="1">
      <c r="A208" s="54" t="s">
        <v>424</v>
      </c>
      <c r="B208" s="3" t="s">
        <v>425</v>
      </c>
      <c r="C208" s="56"/>
      <c r="D208" s="56"/>
      <c r="E208" s="51" t="s">
        <v>1175</v>
      </c>
      <c r="F208" s="51"/>
      <c r="G208" s="51">
        <v>3</v>
      </c>
      <c r="H208" s="51"/>
      <c r="I208" s="51"/>
      <c r="J208" s="51">
        <v>7</v>
      </c>
      <c r="K208" s="37" t="s">
        <v>1243</v>
      </c>
      <c r="L208" s="50"/>
      <c r="M208" s="4" t="s">
        <v>6</v>
      </c>
      <c r="N208" s="25"/>
      <c r="O208" s="25"/>
      <c r="P208" s="25"/>
      <c r="Q208" s="25"/>
      <c r="R208" s="25"/>
      <c r="S208" s="25">
        <v>608.6253639274039</v>
      </c>
      <c r="T208" s="25">
        <v>106.46131275066753</v>
      </c>
      <c r="U208" s="25">
        <v>106.46131275066753</v>
      </c>
      <c r="V208" s="30">
        <v>24.718205885922341</v>
      </c>
      <c r="W208" s="30">
        <v>141.31074156661342</v>
      </c>
      <c r="X208" s="31"/>
      <c r="Y208" s="31"/>
      <c r="Z208" s="31"/>
      <c r="AA208" s="31"/>
      <c r="AB208" s="31"/>
      <c r="AC208" s="31"/>
      <c r="AD208" s="31"/>
      <c r="AE208" s="32"/>
      <c r="AF208" s="16"/>
      <c r="AG208" s="3"/>
      <c r="AH208" s="4"/>
      <c r="AI208" s="6">
        <v>4307</v>
      </c>
      <c r="AJ208" s="38">
        <v>100</v>
      </c>
      <c r="AK208" s="3"/>
      <c r="AL208" s="1"/>
      <c r="AM208" s="37"/>
      <c r="AN208" s="37"/>
      <c r="AO208" s="37"/>
      <c r="AP208" s="37"/>
      <c r="AQ208" s="37">
        <f>(6510*9.5)/1000</f>
        <v>61.844999999999999</v>
      </c>
      <c r="AR208" s="37">
        <f>(6410*9.5)/1000</f>
        <v>60.895000000000003</v>
      </c>
      <c r="AS208" s="37">
        <f>(6310*9.5)/1000</f>
        <v>59.945</v>
      </c>
      <c r="AT208" s="37">
        <f>(6423*9.5)/1000</f>
        <v>61.018500000000003</v>
      </c>
      <c r="AU208" s="37"/>
      <c r="AV208" s="37"/>
      <c r="AW208" s="37"/>
      <c r="AX208" s="37"/>
      <c r="AY208" s="37"/>
      <c r="AZ208" s="37"/>
      <c r="BA208" s="37"/>
      <c r="BB208" s="37"/>
      <c r="BC208" s="37">
        <v>19.75</v>
      </c>
      <c r="BD208" s="37">
        <v>18.11</v>
      </c>
      <c r="BE208" s="37">
        <v>17.68</v>
      </c>
      <c r="BF208" s="37">
        <v>15.56</v>
      </c>
      <c r="BG208" s="42"/>
      <c r="BH208" s="42">
        <v>60.925875000000005</v>
      </c>
      <c r="BI208" s="42"/>
      <c r="BJ208" s="42"/>
      <c r="BK208" s="44">
        <v>60.925875000000005</v>
      </c>
      <c r="BL208" s="44">
        <v>17.774999999999999</v>
      </c>
      <c r="BM208" s="44">
        <f>+BK208+BL208</f>
        <v>78.700874999999996</v>
      </c>
      <c r="BN208" s="47">
        <v>93.732115384615398</v>
      </c>
      <c r="BO208" s="47">
        <v>27.346153846153847</v>
      </c>
      <c r="BP208" s="45">
        <v>27.346153846153847</v>
      </c>
      <c r="BQ208" s="9">
        <v>650</v>
      </c>
      <c r="BR208" s="4">
        <v>54</v>
      </c>
      <c r="BS208" s="4">
        <v>2004</v>
      </c>
      <c r="BT208" s="1" t="s">
        <v>999</v>
      </c>
      <c r="BU208" s="4"/>
      <c r="BV208" s="4" t="s">
        <v>1000</v>
      </c>
      <c r="BW208" s="4"/>
      <c r="BX208" s="4"/>
      <c r="BY208" s="9">
        <f>+INT(BK208*faktorji!$B$5)</f>
        <v>5787</v>
      </c>
      <c r="BZ208" s="9">
        <f>+INT(BL208*faktorji!$B$4)</f>
        <v>2932</v>
      </c>
      <c r="CA208" s="4"/>
      <c r="CB208" s="4">
        <v>0</v>
      </c>
      <c r="CC208" s="4">
        <v>1</v>
      </c>
      <c r="CD208" s="4">
        <v>1</v>
      </c>
      <c r="CE208" s="4">
        <v>1</v>
      </c>
      <c r="CF208" s="4">
        <v>0</v>
      </c>
      <c r="CG208" s="4">
        <v>1</v>
      </c>
      <c r="CH208" s="4">
        <v>1</v>
      </c>
      <c r="CI208" s="9">
        <f>+BQ208*(CB208*faktorji!$B$21+'MOL_tabela rezultatov'!CF168*faktorji!$B$23+'MOL_tabela rezultatov'!CH168*faktorji!$B$26)+faktorji!$B$27*CG208</f>
        <v>18975</v>
      </c>
      <c r="CJ208" s="9">
        <f>+(BZ208*CF208*faktorji!$B$18)+(CG208*faktorji!$B$17*('MOL_tabela rezultatov'!BY168+'MOL_tabela rezultatov'!BZ168))+('MOL_tabela rezultatov'!CH168*faktorji!$B$16*'MOL_tabela rezultatov'!BY168)+('MOL_tabela rezultatov'!CB168*faktorji!$B$12*'MOL_tabela rezultatov'!BY168)</f>
        <v>387.1</v>
      </c>
      <c r="CK208" s="66">
        <f>+CI208/CJ208</f>
        <v>49.018341513820715</v>
      </c>
      <c r="CL208" s="3" t="str">
        <f>CONCATENATE(IF(CB208&gt;0,"kotlovnica/toplotna postaja, ",""),IF(CF208&gt;0,"razsvetljava, ",""),IF(CG208&gt;0,"energetsko upravljanje, ",""),IF(CH208&gt;0,"manjši investicijski in organizacijski ukrepi, ",""))</f>
        <v xml:space="preserve">energetsko upravljanje, manjši investicijski in organizacijski ukrepi, </v>
      </c>
      <c r="CM208" s="9">
        <f>+CJ208*0.9</f>
        <v>348.39000000000004</v>
      </c>
      <c r="CN208" s="9">
        <f>+CJ208*0.9</f>
        <v>348.39000000000004</v>
      </c>
      <c r="CO208" s="9">
        <f>+CJ208*0.9</f>
        <v>348.39000000000004</v>
      </c>
      <c r="CP208" s="69">
        <f>+IF(CI208-SUM(CM208:CO208)&lt;0,0,CI208-SUM(CM208:CO208))</f>
        <v>17929.830000000002</v>
      </c>
      <c r="CQ208" s="9">
        <f>+(BQ208*CE208*faktorji!$B$24)+(BQ208^0.5*CC208*4*4*0.66*faktorji!$B$22)+(BQ208^0.5*CD208*4*4*0.33*faktorji!$B$25)</f>
        <v>65499.504911951321</v>
      </c>
      <c r="CR208" s="3" t="str">
        <f t="shared" si="161"/>
        <v xml:space="preserve">izolacija ovoja, stavbno pohištvo, izolacija podstrešja, </v>
      </c>
      <c r="CS208" s="9">
        <f>+BQ208*('MOL_tabela rezultatov'!CH208*faktorji!$B$26)+faktorji!$B$27*CG208</f>
        <v>18975</v>
      </c>
      <c r="CT208" s="3" t="str">
        <f t="shared" si="159"/>
        <v xml:space="preserve">energetsko upravljanje, manjši investicijski in organizacijski ukrepi, </v>
      </c>
      <c r="CU208" s="9">
        <f t="shared" si="127"/>
        <v>4743.75</v>
      </c>
      <c r="CV208" s="9">
        <f t="shared" ref="CV208:CX208" si="185">+CU208</f>
        <v>4743.75</v>
      </c>
      <c r="CW208" s="9">
        <f t="shared" si="185"/>
        <v>4743.75</v>
      </c>
      <c r="CX208" s="69">
        <f t="shared" si="185"/>
        <v>4743.75</v>
      </c>
    </row>
    <row r="209" spans="1:102" s="10" customFormat="1" ht="18" hidden="1" customHeight="1">
      <c r="A209" s="53" t="s">
        <v>648</v>
      </c>
      <c r="B209" s="2" t="s">
        <v>649</v>
      </c>
      <c r="C209" s="57"/>
      <c r="D209" s="57"/>
      <c r="E209" s="51" t="s">
        <v>1176</v>
      </c>
      <c r="F209" s="51"/>
      <c r="G209" s="51">
        <v>2</v>
      </c>
      <c r="H209" s="51" t="s">
        <v>1252</v>
      </c>
      <c r="I209" s="51"/>
      <c r="J209" s="51">
        <v>2</v>
      </c>
      <c r="K209" s="37" t="s">
        <v>1243</v>
      </c>
      <c r="L209" s="50"/>
      <c r="M209" s="4" t="s">
        <v>6</v>
      </c>
      <c r="N209" s="25"/>
      <c r="O209" s="25">
        <v>193</v>
      </c>
      <c r="P209" s="25"/>
      <c r="Q209" s="25"/>
      <c r="R209" s="25"/>
      <c r="S209" s="25"/>
      <c r="T209" s="27">
        <v>31.828666666666667</v>
      </c>
      <c r="U209" s="25">
        <v>224.82866666666666</v>
      </c>
      <c r="V209" s="30">
        <v>36.114220877458393</v>
      </c>
      <c r="W209" s="30">
        <v>218.98638426626323</v>
      </c>
      <c r="X209" s="31"/>
      <c r="Y209" s="31"/>
      <c r="Z209" s="31"/>
      <c r="AA209" s="31"/>
      <c r="AB209" s="31"/>
      <c r="AC209" s="31"/>
      <c r="AD209" s="31"/>
      <c r="AE209" s="32"/>
      <c r="AF209" s="16" t="s">
        <v>650</v>
      </c>
      <c r="AG209" s="3">
        <v>2006</v>
      </c>
      <c r="AH209" s="4"/>
      <c r="AI209" s="12">
        <v>881.33333333333337</v>
      </c>
      <c r="AJ209" s="38">
        <v>100</v>
      </c>
      <c r="AK209" s="3"/>
      <c r="AL209" s="1" t="s">
        <v>651</v>
      </c>
      <c r="AM209" s="37"/>
      <c r="AN209" s="37"/>
      <c r="AO209" s="37"/>
      <c r="AP209" s="37"/>
      <c r="AQ209" s="37">
        <f>(23845*9.5)/1000</f>
        <v>226.5275</v>
      </c>
      <c r="AR209" s="37">
        <f>(25670*9.5)/1000</f>
        <v>243.86500000000001</v>
      </c>
      <c r="AS209" s="37">
        <f>(22736*9.5)/1000</f>
        <v>215.99199999999999</v>
      </c>
      <c r="AT209" s="37">
        <f>(21624*9.5)/1000</f>
        <v>205.428</v>
      </c>
      <c r="AU209" s="37"/>
      <c r="AV209" s="37"/>
      <c r="AW209" s="37"/>
      <c r="AX209" s="37"/>
      <c r="AY209" s="37"/>
      <c r="AZ209" s="37"/>
      <c r="BA209" s="37"/>
      <c r="BB209" s="37"/>
      <c r="BC209" s="37">
        <v>49.5</v>
      </c>
      <c r="BD209" s="37">
        <v>49.6</v>
      </c>
      <c r="BE209" s="37">
        <v>48</v>
      </c>
      <c r="BF209" s="37"/>
      <c r="BG209" s="42"/>
      <c r="BH209" s="42">
        <v>222.953125</v>
      </c>
      <c r="BI209" s="43"/>
      <c r="BJ209" s="43"/>
      <c r="BK209" s="44">
        <v>222.953125</v>
      </c>
      <c r="BL209" s="44">
        <v>49.033333333333331</v>
      </c>
      <c r="BM209" s="44">
        <f>+BK209+BL209</f>
        <v>271.9864583333333</v>
      </c>
      <c r="BN209" s="47">
        <v>167.63392857142858</v>
      </c>
      <c r="BO209" s="47">
        <v>36.867167919799492</v>
      </c>
      <c r="BP209" s="45">
        <v>204.50109649122805</v>
      </c>
      <c r="BQ209" s="9">
        <v>1330</v>
      </c>
      <c r="BR209" s="4">
        <v>140</v>
      </c>
      <c r="BS209" s="4">
        <v>2006</v>
      </c>
      <c r="BT209" s="4"/>
      <c r="BU209" s="4"/>
      <c r="BV209" s="4" t="s">
        <v>871</v>
      </c>
      <c r="BW209" s="4"/>
      <c r="BX209" s="4"/>
      <c r="BY209" s="9">
        <f>+INT(BK209*faktorji!$B$5)</f>
        <v>21180</v>
      </c>
      <c r="BZ209" s="9">
        <f>+INT(BL209*faktorji!$B$4)</f>
        <v>8090</v>
      </c>
      <c r="CA209" s="3" t="s">
        <v>1300</v>
      </c>
      <c r="CB209" s="4">
        <v>0</v>
      </c>
      <c r="CC209" s="4">
        <v>1</v>
      </c>
      <c r="CD209" s="4">
        <v>0</v>
      </c>
      <c r="CE209" s="4">
        <v>0</v>
      </c>
      <c r="CF209" s="4">
        <v>1</v>
      </c>
      <c r="CG209" s="4">
        <v>1</v>
      </c>
      <c r="CH209" s="4">
        <v>1</v>
      </c>
      <c r="CI209" s="9">
        <f>+BQ209*(CB209*faktorji!$B$21+'MOL_tabela rezultatov'!CF238*faktorji!$B$23+'MOL_tabela rezultatov'!CH238*faktorji!$B$26)+faktorji!$B$27*CG209</f>
        <v>39945</v>
      </c>
      <c r="CJ209" s="9">
        <f>+(BZ209*CF209*faktorji!$B$18)+(CG209*faktorji!$B$17*('MOL_tabela rezultatov'!BY238+'MOL_tabela rezultatov'!BZ238))+('MOL_tabela rezultatov'!CH238*faktorji!$B$16*'MOL_tabela rezultatov'!BY238)+('MOL_tabela rezultatov'!CB238*faktorji!$B$12*'MOL_tabela rezultatov'!BY238)</f>
        <v>3016.9000000000005</v>
      </c>
      <c r="CK209" s="66">
        <f>+CI209/CJ209</f>
        <v>13.24041234379661</v>
      </c>
      <c r="CL209" s="3" t="str">
        <f>CONCATENATE(IF(CB209&gt;0,"kotlovnica/toplotna postaja, ",""),IF(CF209&gt;0,"razsvetljava, ",""),IF(CG209&gt;0,"energetsko upravljanje, ",""),IF(CH209&gt;0,"manjši investicijski in organizacijski ukrepi, ",""))</f>
        <v xml:space="preserve">razsvetljava, energetsko upravljanje, manjši investicijski in organizacijski ukrepi, </v>
      </c>
      <c r="CM209" s="9">
        <f>+CJ209*0.9</f>
        <v>2715.2100000000005</v>
      </c>
      <c r="CN209" s="9">
        <f>+CJ209*0.9</f>
        <v>2715.2100000000005</v>
      </c>
      <c r="CO209" s="9">
        <f>+CJ209*0.9</f>
        <v>2715.2100000000005</v>
      </c>
      <c r="CP209" s="69">
        <f>+IF(CI209-SUM(CM209:CO209)&lt;0,0,CI209-SUM(CM209:CO209))</f>
        <v>31799.37</v>
      </c>
      <c r="CQ209" s="9">
        <f>+(BQ209*CE209*faktorji!$B$24)+(BQ209^0.5*CC209*4*4*0.66*faktorji!$B$22)+(BQ209^0.5*CD209*4*4*0.33*faktorji!$B$25)</f>
        <v>26958.006810593401</v>
      </c>
      <c r="CR209" s="3" t="str">
        <f t="shared" si="161"/>
        <v xml:space="preserve">izolacija ovoja, </v>
      </c>
      <c r="CS209" s="9">
        <f>+BQ209*('MOL_tabela rezultatov'!CH209*faktorji!$B$26)+faktorji!$B$27*CG209</f>
        <v>19995</v>
      </c>
      <c r="CT209" s="3" t="str">
        <f t="shared" si="159"/>
        <v xml:space="preserve">energetsko upravljanje, manjši investicijski in organizacijski ukrepi, </v>
      </c>
      <c r="CU209" s="9">
        <f t="shared" si="127"/>
        <v>4998.75</v>
      </c>
      <c r="CV209" s="9">
        <f t="shared" ref="CV209:CX209" si="186">+CU209</f>
        <v>4998.75</v>
      </c>
      <c r="CW209" s="9">
        <f t="shared" si="186"/>
        <v>4998.75</v>
      </c>
      <c r="CX209" s="69">
        <f t="shared" si="186"/>
        <v>4998.75</v>
      </c>
    </row>
    <row r="210" spans="1:102" s="10" customFormat="1" ht="18" hidden="1" customHeight="1">
      <c r="A210" s="54" t="s">
        <v>220</v>
      </c>
      <c r="B210" s="3" t="s">
        <v>221</v>
      </c>
      <c r="C210" s="56"/>
      <c r="D210" s="56"/>
      <c r="E210" s="51" t="s">
        <v>1172</v>
      </c>
      <c r="F210" s="51"/>
      <c r="G210" s="51">
        <v>4</v>
      </c>
      <c r="H210" s="51"/>
      <c r="I210" s="51"/>
      <c r="J210" s="51">
        <v>6</v>
      </c>
      <c r="K210" s="37" t="s">
        <v>1243</v>
      </c>
      <c r="L210" s="50"/>
      <c r="M210" s="4" t="s">
        <v>7</v>
      </c>
      <c r="N210" s="25"/>
      <c r="O210" s="25"/>
      <c r="P210" s="25">
        <v>100</v>
      </c>
      <c r="Q210" s="25"/>
      <c r="R210" s="25"/>
      <c r="S210" s="25"/>
      <c r="T210" s="25">
        <v>129.76347222881711</v>
      </c>
      <c r="U210" s="25">
        <v>229.76347222881711</v>
      </c>
      <c r="V210" s="30">
        <v>64.881736114408554</v>
      </c>
      <c r="W210" s="30">
        <v>50</v>
      </c>
      <c r="X210" s="31"/>
      <c r="Y210" s="31"/>
      <c r="Z210" s="31">
        <v>60</v>
      </c>
      <c r="AA210" s="31"/>
      <c r="AB210" s="31"/>
      <c r="AC210" s="31"/>
      <c r="AD210" s="31"/>
      <c r="AE210" s="32">
        <v>30</v>
      </c>
      <c r="AF210" s="1"/>
      <c r="AG210" s="4"/>
      <c r="AH210" s="4"/>
      <c r="AI210" s="4">
        <v>2000</v>
      </c>
      <c r="AJ210" s="38">
        <v>100</v>
      </c>
      <c r="AK210" s="3"/>
      <c r="AL210" s="1"/>
      <c r="AM210" s="37"/>
      <c r="AN210" s="37"/>
      <c r="AO210" s="37"/>
      <c r="AP210" s="37"/>
      <c r="AQ210" s="37"/>
      <c r="AR210" s="37"/>
      <c r="AS210" s="37"/>
      <c r="AT210" s="37"/>
      <c r="AU210" s="37">
        <v>166</v>
      </c>
      <c r="AV210" s="37">
        <v>140</v>
      </c>
      <c r="AW210" s="37">
        <v>180</v>
      </c>
      <c r="AX210" s="37">
        <v>120</v>
      </c>
      <c r="AY210" s="37"/>
      <c r="AZ210" s="37"/>
      <c r="BA210" s="37"/>
      <c r="BB210" s="37"/>
      <c r="BC210" s="37"/>
      <c r="BD210" s="37"/>
      <c r="BE210" s="37"/>
      <c r="BF210" s="37"/>
      <c r="BG210" s="42"/>
      <c r="BH210" s="42"/>
      <c r="BI210" s="42">
        <v>151.5</v>
      </c>
      <c r="BJ210" s="42"/>
      <c r="BK210" s="44">
        <v>151.5</v>
      </c>
      <c r="BL210" s="44">
        <v>0</v>
      </c>
      <c r="BM210" s="44">
        <f>+BK210+BL210</f>
        <v>151.5</v>
      </c>
      <c r="BN210" s="47">
        <v>76.245596376446912</v>
      </c>
      <c r="BO210" s="47">
        <v>0</v>
      </c>
      <c r="BP210" s="45">
        <v>76.245596376446912</v>
      </c>
      <c r="BQ210" s="9">
        <v>1987</v>
      </c>
      <c r="BR210" s="4">
        <v>300</v>
      </c>
      <c r="BS210" s="4">
        <v>1999</v>
      </c>
      <c r="BT210" s="4" t="s">
        <v>1137</v>
      </c>
      <c r="BU210" s="4"/>
      <c r="BV210" s="4"/>
      <c r="BW210" s="4"/>
      <c r="BX210" s="4" t="s">
        <v>1138</v>
      </c>
      <c r="BY210" s="9">
        <f>+INT(BK210*faktorji!$B$6)</f>
        <v>18937</v>
      </c>
      <c r="BZ210" s="9">
        <f>+INT(BL210*faktorji!$B$4)</f>
        <v>0</v>
      </c>
      <c r="CA210" s="4"/>
      <c r="CB210" s="4">
        <v>0</v>
      </c>
      <c r="CC210" s="4">
        <v>0</v>
      </c>
      <c r="CD210" s="4">
        <v>0</v>
      </c>
      <c r="CE210" s="4">
        <v>0</v>
      </c>
      <c r="CF210" s="4">
        <v>1</v>
      </c>
      <c r="CG210" s="4">
        <v>1</v>
      </c>
      <c r="CH210" s="4">
        <v>1</v>
      </c>
      <c r="CI210" s="9">
        <f>+BQ210*(CB210*faktorji!$B$21+'MOL_tabela rezultatov'!CF77*faktorji!$B$23+'MOL_tabela rezultatov'!CH77*faktorji!$B$26)+faktorji!$B$27*CG210</f>
        <v>50785.5</v>
      </c>
      <c r="CJ210" s="9">
        <f>+(BZ210*CF210*faktorji!$B$18)+(CG210*faktorji!$B$17*('MOL_tabela rezultatov'!BY77+'MOL_tabela rezultatov'!BZ77))+('MOL_tabela rezultatov'!CH77*faktorji!$B$16*'MOL_tabela rezultatov'!BY77)+('MOL_tabela rezultatov'!CB77*faktorji!$B$12*'MOL_tabela rezultatov'!BY77)</f>
        <v>31441.200000000001</v>
      </c>
      <c r="CK210" s="66">
        <f>+CI210/CJ210</f>
        <v>1.615253234609366</v>
      </c>
      <c r="CL210" s="3" t="str">
        <f>CONCATENATE(IF(CB210&gt;0,"kotlovnica/toplotna postaja, ",""),IF(CF210&gt;0,"razsvetljava, ",""),IF(CG210&gt;0,"energetsko upravljanje, ",""),IF(CH210&gt;0,"manjši investicijski in organizacijski ukrepi, ",""))</f>
        <v xml:space="preserve">razsvetljava, energetsko upravljanje, manjši investicijski in organizacijski ukrepi, </v>
      </c>
      <c r="CM210" s="9">
        <f>+CJ210*0.9</f>
        <v>28297.08</v>
      </c>
      <c r="CN210" s="9">
        <f>+CJ210*0.9</f>
        <v>28297.08</v>
      </c>
      <c r="CO210" s="9">
        <f>+CJ210*0.9</f>
        <v>28297.08</v>
      </c>
      <c r="CP210" s="69">
        <f>+IF(CI210-SUM(CM210:CO210)&lt;0,0,CI210-SUM(CM210:CO210))</f>
        <v>0</v>
      </c>
      <c r="CQ210" s="9">
        <f>+(BQ210*CE210*faktorji!$B$24)+(BQ210^0.5*CC210*4*4*0.66*faktorji!$B$22)+(BQ210^0.5*CD210*4*4*0.33*faktorji!$B$25)</f>
        <v>0</v>
      </c>
      <c r="CR210" s="3" t="str">
        <f t="shared" si="161"/>
        <v/>
      </c>
      <c r="CS210" s="9">
        <f>+BQ210*('MOL_tabela rezultatov'!CH210*faktorji!$B$26)+faktorji!$B$27*CG210</f>
        <v>20980.5</v>
      </c>
      <c r="CT210" s="3" t="str">
        <f t="shared" si="159"/>
        <v xml:space="preserve">energetsko upravljanje, manjši investicijski in organizacijski ukrepi, </v>
      </c>
      <c r="CU210" s="9">
        <f t="shared" si="127"/>
        <v>5245.125</v>
      </c>
      <c r="CV210" s="9">
        <f t="shared" ref="CV210:CX210" si="187">+CU210</f>
        <v>5245.125</v>
      </c>
      <c r="CW210" s="9">
        <f t="shared" si="187"/>
        <v>5245.125</v>
      </c>
      <c r="CX210" s="69">
        <f t="shared" si="187"/>
        <v>5245.125</v>
      </c>
    </row>
    <row r="211" spans="1:102" s="10" customFormat="1" ht="18" hidden="1" customHeight="1">
      <c r="A211" s="53" t="s">
        <v>632</v>
      </c>
      <c r="B211" s="2" t="s">
        <v>633</v>
      </c>
      <c r="C211" s="57"/>
      <c r="D211" s="57"/>
      <c r="E211" s="51" t="s">
        <v>1176</v>
      </c>
      <c r="F211" s="51"/>
      <c r="G211" s="51">
        <v>2</v>
      </c>
      <c r="H211" s="51" t="s">
        <v>1252</v>
      </c>
      <c r="I211" s="51"/>
      <c r="J211" s="51">
        <v>2</v>
      </c>
      <c r="K211" s="37" t="s">
        <v>1243</v>
      </c>
      <c r="L211" s="50"/>
      <c r="M211" s="4" t="s">
        <v>7</v>
      </c>
      <c r="N211" s="25"/>
      <c r="O211" s="25"/>
      <c r="P211" s="25">
        <v>91</v>
      </c>
      <c r="Q211" s="25"/>
      <c r="R211" s="25"/>
      <c r="S211" s="25"/>
      <c r="T211" s="25">
        <v>11.455180907104198</v>
      </c>
      <c r="U211" s="25">
        <v>102.45518090710419</v>
      </c>
      <c r="V211" s="30">
        <v>31.819946964178328</v>
      </c>
      <c r="W211" s="30">
        <v>252.77777777777777</v>
      </c>
      <c r="X211" s="31"/>
      <c r="Y211" s="31"/>
      <c r="Z211" s="31"/>
      <c r="AA211" s="31"/>
      <c r="AB211" s="31"/>
      <c r="AC211" s="31"/>
      <c r="AD211" s="31"/>
      <c r="AE211" s="32"/>
      <c r="AF211" s="16" t="s">
        <v>634</v>
      </c>
      <c r="AG211" s="3">
        <v>1990</v>
      </c>
      <c r="AH211" s="4"/>
      <c r="AI211" s="6">
        <v>360</v>
      </c>
      <c r="AJ211" s="38">
        <v>100</v>
      </c>
      <c r="AK211" s="3"/>
      <c r="AL211" s="1" t="s">
        <v>490</v>
      </c>
      <c r="AM211" s="37"/>
      <c r="AN211" s="37"/>
      <c r="AO211" s="37"/>
      <c r="AP211" s="37"/>
      <c r="AQ211" s="37"/>
      <c r="AR211" s="37"/>
      <c r="AS211" s="37"/>
      <c r="AT211" s="37"/>
      <c r="AU211" s="37"/>
      <c r="AV211" s="37"/>
      <c r="AW211" s="37"/>
      <c r="AX211" s="37"/>
      <c r="AY211" s="37"/>
      <c r="AZ211" s="37"/>
      <c r="BA211" s="37"/>
      <c r="BB211" s="37"/>
      <c r="BC211" s="37">
        <v>17.7</v>
      </c>
      <c r="BD211" s="37">
        <v>17.399999999999999</v>
      </c>
      <c r="BE211" s="37">
        <v>16.7</v>
      </c>
      <c r="BF211" s="37">
        <v>17.399999999999999</v>
      </c>
      <c r="BG211" s="42">
        <v>127.7</v>
      </c>
      <c r="BH211" s="42"/>
      <c r="BI211" s="42"/>
      <c r="BJ211" s="42"/>
      <c r="BK211" s="44">
        <v>127.7</v>
      </c>
      <c r="BL211" s="44">
        <v>17.299999999999997</v>
      </c>
      <c r="BM211" s="44">
        <f>+BK211+BL211</f>
        <v>145</v>
      </c>
      <c r="BN211" s="47">
        <v>255.4</v>
      </c>
      <c r="BO211" s="47">
        <v>34.599999999999994</v>
      </c>
      <c r="BP211" s="45">
        <v>290</v>
      </c>
      <c r="BQ211" s="9">
        <v>500</v>
      </c>
      <c r="BR211" s="4">
        <v>100</v>
      </c>
      <c r="BS211" s="4">
        <v>1997</v>
      </c>
      <c r="BT211" s="4" t="s">
        <v>885</v>
      </c>
      <c r="BU211" s="4"/>
      <c r="BV211" s="4"/>
      <c r="BW211" s="4"/>
      <c r="BX211" s="4"/>
      <c r="BY211" s="9">
        <f>+INT(BK211*faktorji!$B$6)</f>
        <v>15962</v>
      </c>
      <c r="BZ211" s="9">
        <f>+INT(BL211*faktorji!$B$4)</f>
        <v>2854</v>
      </c>
      <c r="CA211" s="3" t="s">
        <v>1303</v>
      </c>
      <c r="CB211" s="4">
        <v>1</v>
      </c>
      <c r="CC211" s="4">
        <v>0</v>
      </c>
      <c r="CD211" s="4">
        <v>0</v>
      </c>
      <c r="CE211" s="4">
        <v>0</v>
      </c>
      <c r="CF211" s="4">
        <v>1</v>
      </c>
      <c r="CG211" s="4">
        <v>1</v>
      </c>
      <c r="CH211" s="4">
        <v>1</v>
      </c>
      <c r="CI211" s="9">
        <f>+BQ211*(CB211*faktorji!$B$21+'MOL_tabela rezultatov'!CF233*faktorji!$B$23+'MOL_tabela rezultatov'!CH233*faktorji!$B$26)+faktorji!$B$27*CG211</f>
        <v>26250</v>
      </c>
      <c r="CJ211" s="9">
        <f>+(BZ211*CF211*faktorji!$B$18)+(CG211*faktorji!$B$17*('MOL_tabela rezultatov'!BY233+'MOL_tabela rezultatov'!BZ233))+('MOL_tabela rezultatov'!CH233*faktorji!$B$16*'MOL_tabela rezultatov'!BY233)+('MOL_tabela rezultatov'!CB233*faktorji!$B$12*'MOL_tabela rezultatov'!BY233)</f>
        <v>4646.5</v>
      </c>
      <c r="CK211" s="66">
        <f>+CI211/CJ211</f>
        <v>5.649413537070914</v>
      </c>
      <c r="CL211" s="3" t="str">
        <f>CONCATENATE(IF(CB211&gt;0,"kotlovnica/toplotna postaja, ",""),IF(CF211&gt;0,"razsvetljava, ",""),IF(CG211&gt;0,"energetsko upravljanje, ",""),IF(CH211&gt;0,"manjši investicijski in organizacijski ukrepi, ",""))</f>
        <v xml:space="preserve">kotlovnica/toplotna postaja, razsvetljava, energetsko upravljanje, manjši investicijski in organizacijski ukrepi, </v>
      </c>
      <c r="CM211" s="9">
        <f>+CJ211*0.9</f>
        <v>4181.8500000000004</v>
      </c>
      <c r="CN211" s="9">
        <f>+CJ211*0.9</f>
        <v>4181.8500000000004</v>
      </c>
      <c r="CO211" s="9">
        <f>+CJ211*0.9</f>
        <v>4181.8500000000004</v>
      </c>
      <c r="CP211" s="69">
        <f>+IF(CI211-SUM(CM211:CO211)&lt;0,0,CI211-SUM(CM211:CO211))</f>
        <v>13704.449999999999</v>
      </c>
      <c r="CQ211" s="9">
        <f>+(BQ211*CE211*faktorji!$B$24)+(BQ211^0.5*CC211*4*4*0.66*faktorji!$B$22)+(BQ211^0.5*CD211*4*4*0.33*faktorji!$B$25)</f>
        <v>0</v>
      </c>
      <c r="CR211" s="3" t="str">
        <f t="shared" si="161"/>
        <v/>
      </c>
      <c r="CS211" s="9">
        <f>+BQ211*('MOL_tabela rezultatov'!CH211*faktorji!$B$26)+faktorji!$B$27*CG211</f>
        <v>18750</v>
      </c>
      <c r="CT211" s="3" t="str">
        <f t="shared" si="159"/>
        <v xml:space="preserve">energetsko upravljanje, manjši investicijski in organizacijski ukrepi, </v>
      </c>
      <c r="CU211" s="9">
        <f t="shared" si="127"/>
        <v>4687.5</v>
      </c>
      <c r="CV211" s="9">
        <f t="shared" ref="CV211:CX211" si="188">+CU211</f>
        <v>4687.5</v>
      </c>
      <c r="CW211" s="9">
        <f t="shared" si="188"/>
        <v>4687.5</v>
      </c>
      <c r="CX211" s="69">
        <f t="shared" si="188"/>
        <v>4687.5</v>
      </c>
    </row>
    <row r="212" spans="1:102" s="10" customFormat="1" ht="18" hidden="1" customHeight="1">
      <c r="A212" s="53" t="s">
        <v>796</v>
      </c>
      <c r="B212" s="2" t="s">
        <v>797</v>
      </c>
      <c r="C212" s="57"/>
      <c r="D212" s="57"/>
      <c r="E212" s="51" t="s">
        <v>1176</v>
      </c>
      <c r="F212" s="51"/>
      <c r="G212" s="51">
        <v>3</v>
      </c>
      <c r="H212" s="51"/>
      <c r="I212" s="51"/>
      <c r="J212" s="51">
        <v>7</v>
      </c>
      <c r="K212" s="37" t="s">
        <v>1243</v>
      </c>
      <c r="L212" s="50"/>
      <c r="M212" s="4" t="s">
        <v>5</v>
      </c>
      <c r="N212" s="28">
        <v>84</v>
      </c>
      <c r="O212" s="25"/>
      <c r="P212" s="25"/>
      <c r="Q212" s="25"/>
      <c r="R212" s="25"/>
      <c r="S212" s="25"/>
      <c r="T212" s="25">
        <v>7.6779999999999999</v>
      </c>
      <c r="U212" s="25">
        <v>91.677999999999997</v>
      </c>
      <c r="V212" s="30">
        <v>14.99609375</v>
      </c>
      <c r="W212" s="30">
        <v>164.0625</v>
      </c>
      <c r="X212" s="31"/>
      <c r="Y212" s="31"/>
      <c r="Z212" s="31"/>
      <c r="AA212" s="31"/>
      <c r="AB212" s="31"/>
      <c r="AC212" s="31"/>
      <c r="AD212" s="31"/>
      <c r="AE212" s="32"/>
      <c r="AF212" s="16"/>
      <c r="AG212" s="3"/>
      <c r="AH212" s="4"/>
      <c r="AI212" s="6">
        <v>512</v>
      </c>
      <c r="AJ212" s="38">
        <v>100</v>
      </c>
      <c r="AK212" s="3"/>
      <c r="AL212" s="1" t="s">
        <v>421</v>
      </c>
      <c r="AM212" s="39"/>
      <c r="AN212" s="39"/>
      <c r="AO212" s="39"/>
      <c r="AP212" s="39"/>
      <c r="AQ212" s="37"/>
      <c r="AR212" s="37"/>
      <c r="AS212" s="37"/>
      <c r="AT212" s="37"/>
      <c r="AU212" s="37"/>
      <c r="AV212" s="37"/>
      <c r="AW212" s="37"/>
      <c r="AX212" s="37"/>
      <c r="AY212" s="37"/>
      <c r="AZ212" s="37"/>
      <c r="BA212" s="37"/>
      <c r="BB212" s="37"/>
      <c r="BC212" s="37">
        <v>20.6</v>
      </c>
      <c r="BD212" s="37">
        <v>23.5</v>
      </c>
      <c r="BE212" s="37">
        <v>21.1</v>
      </c>
      <c r="BF212" s="37">
        <v>19.95</v>
      </c>
      <c r="BG212" s="42">
        <v>100.6</v>
      </c>
      <c r="BH212" s="42"/>
      <c r="BI212" s="42"/>
      <c r="BJ212" s="42"/>
      <c r="BK212" s="44">
        <v>100.6</v>
      </c>
      <c r="BL212" s="44">
        <v>21.287500000000001</v>
      </c>
      <c r="BM212" s="44">
        <f>+BK212+BL212</f>
        <v>121.88749999999999</v>
      </c>
      <c r="BN212" s="47">
        <v>131.16036505867015</v>
      </c>
      <c r="BO212" s="47">
        <v>27.754237288135592</v>
      </c>
      <c r="BP212" s="45">
        <v>158.91460234680571</v>
      </c>
      <c r="BQ212" s="9">
        <v>767</v>
      </c>
      <c r="BR212" s="4">
        <v>1082</v>
      </c>
      <c r="BS212" s="4">
        <v>1976</v>
      </c>
      <c r="BT212" s="4" t="s">
        <v>872</v>
      </c>
      <c r="BU212" s="4" t="s">
        <v>963</v>
      </c>
      <c r="BV212" s="4" t="s">
        <v>964</v>
      </c>
      <c r="BW212" s="4"/>
      <c r="BX212" s="4" t="s">
        <v>965</v>
      </c>
      <c r="BY212" s="9">
        <f>+INT(BK212*faktorji!$B$3)</f>
        <v>6539</v>
      </c>
      <c r="BZ212" s="9">
        <f>+INT(BL212*faktorji!$B$4)</f>
        <v>3512</v>
      </c>
      <c r="CA212" s="4"/>
      <c r="CB212" s="4">
        <v>1</v>
      </c>
      <c r="CC212" s="4">
        <v>0</v>
      </c>
      <c r="CD212" s="4">
        <v>0</v>
      </c>
      <c r="CE212" s="4">
        <v>0</v>
      </c>
      <c r="CF212" s="4">
        <v>1</v>
      </c>
      <c r="CG212" s="4">
        <v>1</v>
      </c>
      <c r="CH212" s="4">
        <v>1</v>
      </c>
      <c r="CI212" s="9">
        <f>+BQ212*(CB212*faktorji!$B$21+'MOL_tabela rezultatov'!CF289*faktorji!$B$23+'MOL_tabela rezultatov'!CH289*faktorji!$B$26)+faktorji!$B$27*CG212</f>
        <v>42160.5</v>
      </c>
      <c r="CJ212" s="9">
        <f>+(BZ212*CF212*faktorji!$B$18)+(CG212*faktorji!$B$17*('MOL_tabela rezultatov'!BY289+'MOL_tabela rezultatov'!BZ289))+('MOL_tabela rezultatov'!CH289*faktorji!$B$16*'MOL_tabela rezultatov'!BY289)+('MOL_tabela rezultatov'!CB289*faktorji!$B$12*'MOL_tabela rezultatov'!BY289)</f>
        <v>18294.099999999999</v>
      </c>
      <c r="CK212" s="66">
        <f>+CI212/CJ212</f>
        <v>2.304595470670872</v>
      </c>
      <c r="CL212" s="3" t="str">
        <f>CONCATENATE(IF(CB212&gt;0,"kotlovnica/toplotna postaja, ",""),IF(CF212&gt;0,"razsvetljava, ",""),IF(CG212&gt;0,"energetsko upravljanje, ",""),IF(CH212&gt;0,"manjši investicijski in organizacijski ukrepi, ",""))</f>
        <v xml:space="preserve">kotlovnica/toplotna postaja, razsvetljava, energetsko upravljanje, manjši investicijski in organizacijski ukrepi, </v>
      </c>
      <c r="CM212" s="9">
        <f>+CJ212*0.9</f>
        <v>16464.689999999999</v>
      </c>
      <c r="CN212" s="9">
        <f>+CJ212*0.9</f>
        <v>16464.689999999999</v>
      </c>
      <c r="CO212" s="9">
        <f>+CJ212*0.9</f>
        <v>16464.689999999999</v>
      </c>
      <c r="CP212" s="69">
        <f>+IF(CI212-SUM(CM212:CO212)&lt;0,0,CI212-SUM(CM212:CO212))</f>
        <v>0</v>
      </c>
      <c r="CQ212" s="9">
        <f>+(BQ212*CE212*faktorji!$B$24)+(BQ212^0.5*CC212*4*4*0.66*faktorji!$B$22)+(BQ212^0.5*CD212*4*4*0.33*faktorji!$B$25)</f>
        <v>0</v>
      </c>
      <c r="CR212" s="3" t="str">
        <f t="shared" si="161"/>
        <v/>
      </c>
      <c r="CS212" s="9">
        <f>+BQ212*('MOL_tabela rezultatov'!CH212*faktorji!$B$26)+faktorji!$B$27*CG212</f>
        <v>19150.5</v>
      </c>
      <c r="CT212" s="3" t="str">
        <f t="shared" si="159"/>
        <v xml:space="preserve">energetsko upravljanje, manjši investicijski in organizacijski ukrepi, </v>
      </c>
      <c r="CU212" s="9">
        <f t="shared" si="127"/>
        <v>4787.625</v>
      </c>
      <c r="CV212" s="9">
        <f t="shared" ref="CV212:CX212" si="189">+CU212</f>
        <v>4787.625</v>
      </c>
      <c r="CW212" s="9">
        <f t="shared" si="189"/>
        <v>4787.625</v>
      </c>
      <c r="CX212" s="69">
        <f t="shared" si="189"/>
        <v>4787.625</v>
      </c>
    </row>
    <row r="213" spans="1:102" s="10" customFormat="1" ht="18" hidden="1" customHeight="1">
      <c r="A213" s="54" t="s">
        <v>1279</v>
      </c>
      <c r="B213" s="2" t="s">
        <v>265</v>
      </c>
      <c r="C213" s="57"/>
      <c r="D213" s="57"/>
      <c r="E213" s="51" t="s">
        <v>1173</v>
      </c>
      <c r="F213" s="51"/>
      <c r="G213" s="51">
        <v>2</v>
      </c>
      <c r="H213" s="51"/>
      <c r="I213" s="51"/>
      <c r="J213" s="51">
        <v>3</v>
      </c>
      <c r="K213" s="37" t="s">
        <v>1241</v>
      </c>
      <c r="L213" s="50"/>
      <c r="M213" s="4" t="s">
        <v>5</v>
      </c>
      <c r="N213" s="25">
        <v>248.06</v>
      </c>
      <c r="O213" s="25"/>
      <c r="P213" s="25"/>
      <c r="Q213" s="25"/>
      <c r="R213" s="25"/>
      <c r="S213" s="25"/>
      <c r="T213" s="25">
        <v>42.86263526265946</v>
      </c>
      <c r="U213" s="25">
        <v>290.92263526265947</v>
      </c>
      <c r="V213" s="30">
        <v>26.458416828802136</v>
      </c>
      <c r="W213" s="30">
        <v>153.12345679012347</v>
      </c>
      <c r="X213" s="33">
        <v>212.07</v>
      </c>
      <c r="Y213" s="31"/>
      <c r="Z213" s="31"/>
      <c r="AA213" s="31"/>
      <c r="AB213" s="31"/>
      <c r="AC213" s="31">
        <v>192.56</v>
      </c>
      <c r="AD213" s="31"/>
      <c r="AE213" s="32">
        <v>130.90740740740742</v>
      </c>
      <c r="AF213" s="1"/>
      <c r="AG213" s="4"/>
      <c r="AH213" s="4"/>
      <c r="AI213" s="6">
        <v>1620</v>
      </c>
      <c r="AJ213" s="38">
        <v>100</v>
      </c>
      <c r="AK213" s="3"/>
      <c r="AL213" s="1" t="s">
        <v>250</v>
      </c>
      <c r="AM213" s="37"/>
      <c r="AN213" s="37"/>
      <c r="AO213" s="37"/>
      <c r="AP213" s="37"/>
      <c r="AQ213" s="37"/>
      <c r="AR213" s="37"/>
      <c r="AS213" s="37"/>
      <c r="AT213" s="37"/>
      <c r="AU213" s="37"/>
      <c r="AV213" s="37"/>
      <c r="AW213" s="37"/>
      <c r="AX213" s="37"/>
      <c r="AY213" s="37"/>
      <c r="AZ213" s="37"/>
      <c r="BA213" s="37"/>
      <c r="BB213" s="37"/>
      <c r="BC213" s="37"/>
      <c r="BD213" s="37"/>
      <c r="BE213" s="37"/>
      <c r="BF213" s="37"/>
      <c r="BG213" s="42">
        <v>248.06</v>
      </c>
      <c r="BH213" s="42"/>
      <c r="BI213" s="42"/>
      <c r="BJ213" s="42"/>
      <c r="BK213" s="44">
        <v>248.06</v>
      </c>
      <c r="BL213" s="44">
        <v>66.096000000000004</v>
      </c>
      <c r="BM213" s="44">
        <f>+BK213+BL213</f>
        <v>314.15600000000001</v>
      </c>
      <c r="BN213" s="47">
        <v>153.12345679012347</v>
      </c>
      <c r="BO213" s="47">
        <v>40.799999999999997</v>
      </c>
      <c r="BP213" s="45">
        <v>193.92345679012345</v>
      </c>
      <c r="BQ213" s="9">
        <v>1700</v>
      </c>
      <c r="BR213" s="4"/>
      <c r="BS213" s="4"/>
      <c r="BT213" s="4"/>
      <c r="BU213" s="4"/>
      <c r="BV213" s="4"/>
      <c r="BW213" s="4"/>
      <c r="BX213" s="4"/>
      <c r="BY213" s="9">
        <f>+INT(BK213*faktorji!$B$3)</f>
        <v>16123</v>
      </c>
      <c r="BZ213" s="9">
        <f>+INT(BL213*faktorji!$B$4)</f>
        <v>10905</v>
      </c>
      <c r="CA213" s="72" t="s">
        <v>1299</v>
      </c>
      <c r="CB213" s="4">
        <v>0</v>
      </c>
      <c r="CC213" s="4">
        <v>0</v>
      </c>
      <c r="CD213" s="4">
        <v>0</v>
      </c>
      <c r="CE213" s="4">
        <v>0</v>
      </c>
      <c r="CF213" s="4">
        <v>1</v>
      </c>
      <c r="CG213" s="4">
        <v>1</v>
      </c>
      <c r="CH213" s="4">
        <v>1</v>
      </c>
      <c r="CI213" s="9">
        <f>+BQ213*(CB213*faktorji!$B$21+'MOL_tabela rezultatov'!CF101*faktorji!$B$23+'MOL_tabela rezultatov'!CH101*faktorji!$B$26)+faktorji!$B$27*CG213</f>
        <v>46050</v>
      </c>
      <c r="CJ213" s="9">
        <f>+(BZ213*CF213*faktorji!$B$18)+(CG213*faktorji!$B$17*('MOL_tabela rezultatov'!BY101+'MOL_tabela rezultatov'!BZ101))+('MOL_tabela rezultatov'!CH101*faktorji!$B$16*'MOL_tabela rezultatov'!BY101)+('MOL_tabela rezultatov'!CB101*faktorji!$B$12*'MOL_tabela rezultatov'!BY101)</f>
        <v>18240.45</v>
      </c>
      <c r="CK213" s="66">
        <f>+CI213/CJ213</f>
        <v>2.5246087678757925</v>
      </c>
      <c r="CL213" s="3" t="str">
        <f>CONCATENATE(IF(CB213&gt;0,"kotlovnica/toplotna postaja, ",""),IF(CF213&gt;0,"razsvetljava, ",""),IF(CG213&gt;0,"energetsko upravljanje, ",""),IF(CH213&gt;0,"manjši investicijski in organizacijski ukrepi, ",""))</f>
        <v xml:space="preserve">razsvetljava, energetsko upravljanje, manjši investicijski in organizacijski ukrepi, </v>
      </c>
      <c r="CM213" s="9">
        <f>+CJ213*0.9</f>
        <v>16416.405000000002</v>
      </c>
      <c r="CN213" s="9">
        <f>+CJ213*0.9</f>
        <v>16416.405000000002</v>
      </c>
      <c r="CO213" s="9">
        <f>+CJ213*0.9</f>
        <v>16416.405000000002</v>
      </c>
      <c r="CP213" s="69">
        <f>+IF(CI213-SUM(CM213:CO213)&lt;0,0,CI213-SUM(CM213:CO213))</f>
        <v>0</v>
      </c>
      <c r="CQ213" s="9">
        <f>+(BQ213*CE213*faktorji!$B$24)+(BQ213^0.5*CC213*4*4*0.66*faktorji!$B$22)+(BQ213^0.5*CD213*4*4*0.33*faktorji!$B$25)</f>
        <v>0</v>
      </c>
      <c r="CR213" s="3" t="str">
        <f t="shared" si="161"/>
        <v/>
      </c>
      <c r="CS213" s="9">
        <f>+BQ213*('MOL_tabela rezultatov'!CH213*faktorji!$B$26)+faktorji!$B$27*CG213</f>
        <v>20550</v>
      </c>
      <c r="CT213" s="3" t="str">
        <f t="shared" si="159"/>
        <v xml:space="preserve">energetsko upravljanje, manjši investicijski in organizacijski ukrepi, </v>
      </c>
      <c r="CU213" s="9">
        <f t="shared" ref="CU213:CU270" si="190">+CS213/4</f>
        <v>5137.5</v>
      </c>
      <c r="CV213" s="9">
        <f t="shared" ref="CV213:CX213" si="191">+CU213</f>
        <v>5137.5</v>
      </c>
      <c r="CW213" s="9">
        <f t="shared" si="191"/>
        <v>5137.5</v>
      </c>
      <c r="CX213" s="69">
        <f t="shared" si="191"/>
        <v>5137.5</v>
      </c>
    </row>
    <row r="214" spans="1:102" s="10" customFormat="1" ht="18" hidden="1" customHeight="1">
      <c r="A214" s="53" t="s">
        <v>292</v>
      </c>
      <c r="B214" s="2" t="s">
        <v>293</v>
      </c>
      <c r="C214" s="57"/>
      <c r="D214" s="57"/>
      <c r="E214" s="51" t="s">
        <v>1174</v>
      </c>
      <c r="F214" s="51"/>
      <c r="G214" s="51">
        <v>4</v>
      </c>
      <c r="H214" s="51"/>
      <c r="I214" s="51"/>
      <c r="J214" s="51">
        <v>7</v>
      </c>
      <c r="K214" s="37" t="s">
        <v>1241</v>
      </c>
      <c r="L214" s="50"/>
      <c r="M214" s="4" t="s">
        <v>6</v>
      </c>
      <c r="N214" s="25"/>
      <c r="O214" s="25">
        <v>113.52500000000001</v>
      </c>
      <c r="P214" s="25"/>
      <c r="Q214" s="25"/>
      <c r="R214" s="25"/>
      <c r="S214" s="25"/>
      <c r="T214" s="25">
        <v>5.52</v>
      </c>
      <c r="U214" s="25">
        <v>119.045</v>
      </c>
      <c r="V214" s="30">
        <v>14.153846153846152</v>
      </c>
      <c r="W214" s="30">
        <v>291.08974358974359</v>
      </c>
      <c r="X214" s="31"/>
      <c r="Y214" s="31"/>
      <c r="Z214" s="31"/>
      <c r="AA214" s="31"/>
      <c r="AB214" s="31"/>
      <c r="AC214" s="31">
        <v>6.08</v>
      </c>
      <c r="AD214" s="31"/>
      <c r="AE214" s="32">
        <v>0</v>
      </c>
      <c r="AF214" s="1"/>
      <c r="AG214" s="4"/>
      <c r="AH214" s="4"/>
      <c r="AI214" s="6">
        <v>390</v>
      </c>
      <c r="AJ214" s="38">
        <v>100</v>
      </c>
      <c r="AK214" s="3"/>
      <c r="AL214" s="1"/>
      <c r="AM214" s="37"/>
      <c r="AN214" s="37"/>
      <c r="AO214" s="37"/>
      <c r="AP214" s="37"/>
      <c r="AQ214" s="37"/>
      <c r="AR214" s="37"/>
      <c r="AS214" s="37"/>
      <c r="AT214" s="37"/>
      <c r="AU214" s="37"/>
      <c r="AV214" s="37"/>
      <c r="AW214" s="37"/>
      <c r="AX214" s="37"/>
      <c r="AY214" s="37"/>
      <c r="AZ214" s="37"/>
      <c r="BA214" s="37"/>
      <c r="BB214" s="37"/>
      <c r="BC214" s="37"/>
      <c r="BD214" s="37"/>
      <c r="BE214" s="37"/>
      <c r="BF214" s="37"/>
      <c r="BG214" s="42"/>
      <c r="BH214" s="42">
        <v>113.53</v>
      </c>
      <c r="BI214" s="42"/>
      <c r="BJ214" s="42"/>
      <c r="BK214" s="44">
        <v>113.53</v>
      </c>
      <c r="BL214" s="44">
        <v>5.52</v>
      </c>
      <c r="BM214" s="44">
        <f>+BK214+BL214</f>
        <v>119.05</v>
      </c>
      <c r="BN214" s="47">
        <v>291.10256410256409</v>
      </c>
      <c r="BO214" s="47">
        <v>14.153846153846153</v>
      </c>
      <c r="BP214" s="45">
        <v>305.25641025641028</v>
      </c>
      <c r="BQ214" s="6">
        <v>390</v>
      </c>
      <c r="BR214" s="4"/>
      <c r="BS214" s="4"/>
      <c r="BT214" s="4"/>
      <c r="BU214" s="4"/>
      <c r="BV214" s="4"/>
      <c r="BW214" s="4"/>
      <c r="BX214" s="4"/>
      <c r="BY214" s="9">
        <f>+INT(BK214*faktorji!$B$5)</f>
        <v>10785</v>
      </c>
      <c r="BZ214" s="9">
        <f>+INT(BL214*faktorji!$B$4)</f>
        <v>910</v>
      </c>
      <c r="CA214" s="4"/>
      <c r="CB214" s="4">
        <v>0</v>
      </c>
      <c r="CC214" s="4">
        <v>0</v>
      </c>
      <c r="CD214" s="4">
        <v>0</v>
      </c>
      <c r="CE214" s="4">
        <v>0</v>
      </c>
      <c r="CF214" s="4">
        <v>1</v>
      </c>
      <c r="CG214" s="4">
        <v>1</v>
      </c>
      <c r="CH214" s="4">
        <v>1</v>
      </c>
      <c r="CI214" s="9">
        <f>+BQ214*(CB214*faktorji!$B$21+'MOL_tabela rezultatov'!CF112*faktorji!$B$23+'MOL_tabela rezultatov'!CH112*faktorji!$B$26)+faktorji!$B$27*CG214</f>
        <v>23850</v>
      </c>
      <c r="CJ214" s="9">
        <f>+(BZ214*CF214*faktorji!$B$18)+(CG214*faktorji!$B$17*('MOL_tabela rezultatov'!BY112+'MOL_tabela rezultatov'!BZ112))+('MOL_tabela rezultatov'!CH112*faktorji!$B$16*'MOL_tabela rezultatov'!BY112)+('MOL_tabela rezultatov'!CB112*faktorji!$B$12*'MOL_tabela rezultatov'!BY112)</f>
        <v>20082.2</v>
      </c>
      <c r="CK214" s="66">
        <f>+CI214/CJ214</f>
        <v>1.1876188863769905</v>
      </c>
      <c r="CL214" s="3" t="str">
        <f>CONCATENATE(IF(CB214&gt;0,"kotlovnica/toplotna postaja, ",""),IF(CF214&gt;0,"razsvetljava, ",""),IF(CG214&gt;0,"energetsko upravljanje, ",""),IF(CH214&gt;0,"manjši investicijski in organizacijski ukrepi, ",""))</f>
        <v xml:space="preserve">razsvetljava, energetsko upravljanje, manjši investicijski in organizacijski ukrepi, </v>
      </c>
      <c r="CM214" s="9">
        <f>+CJ214*0.9</f>
        <v>18073.98</v>
      </c>
      <c r="CN214" s="9">
        <f>+CJ214*0.9</f>
        <v>18073.98</v>
      </c>
      <c r="CO214" s="9">
        <f>+CJ214*0.9</f>
        <v>18073.98</v>
      </c>
      <c r="CP214" s="69">
        <f>+IF(CI214-SUM(CM214:CO214)&lt;0,0,CI214-SUM(CM214:CO214))</f>
        <v>0</v>
      </c>
      <c r="CQ214" s="9">
        <f>+(BQ214*CE214*faktorji!$B$24)+(BQ214^0.5*CC214*4*4*0.66*faktorji!$B$22)+(BQ214^0.5*CD214*4*4*0.33*faktorji!$B$25)</f>
        <v>0</v>
      </c>
      <c r="CR214" s="3" t="str">
        <f t="shared" si="161"/>
        <v/>
      </c>
      <c r="CS214" s="9">
        <f>+BQ214*('MOL_tabela rezultatov'!CH214*faktorji!$B$26)+faktorji!$B$27*CG214</f>
        <v>18585</v>
      </c>
      <c r="CT214" s="3" t="str">
        <f t="shared" si="159"/>
        <v xml:space="preserve">energetsko upravljanje, manjši investicijski in organizacijski ukrepi, </v>
      </c>
      <c r="CU214" s="9">
        <f t="shared" si="190"/>
        <v>4646.25</v>
      </c>
      <c r="CV214" s="9">
        <f t="shared" ref="CV214:CX214" si="192">+CU214</f>
        <v>4646.25</v>
      </c>
      <c r="CW214" s="9">
        <f t="shared" si="192"/>
        <v>4646.25</v>
      </c>
      <c r="CX214" s="69">
        <f t="shared" si="192"/>
        <v>4646.25</v>
      </c>
    </row>
    <row r="215" spans="1:102" s="10" customFormat="1" ht="18" hidden="1" customHeight="1">
      <c r="A215" s="53" t="s">
        <v>505</v>
      </c>
      <c r="B215" s="2" t="s">
        <v>506</v>
      </c>
      <c r="C215" s="57"/>
      <c r="D215" s="57"/>
      <c r="E215" s="51" t="s">
        <v>1175</v>
      </c>
      <c r="F215" s="51"/>
      <c r="G215" s="51">
        <v>2</v>
      </c>
      <c r="H215" s="51" t="s">
        <v>1251</v>
      </c>
      <c r="I215" s="51"/>
      <c r="J215" s="51">
        <v>2</v>
      </c>
      <c r="K215" s="37" t="s">
        <v>1243</v>
      </c>
      <c r="L215" s="50"/>
      <c r="M215" s="4" t="s">
        <v>7</v>
      </c>
      <c r="N215" s="25"/>
      <c r="O215" s="25"/>
      <c r="P215" s="28">
        <v>700</v>
      </c>
      <c r="Q215" s="25"/>
      <c r="R215" s="25"/>
      <c r="S215" s="25"/>
      <c r="T215" s="25">
        <v>135</v>
      </c>
      <c r="U215" s="25">
        <v>835</v>
      </c>
      <c r="V215" s="30">
        <v>20.374283127075159</v>
      </c>
      <c r="W215" s="30">
        <v>105.64443102927859</v>
      </c>
      <c r="X215" s="31"/>
      <c r="Y215" s="31"/>
      <c r="Z215" s="31"/>
      <c r="AA215" s="31"/>
      <c r="AB215" s="31"/>
      <c r="AC215" s="31"/>
      <c r="AD215" s="31"/>
      <c r="AE215" s="32"/>
      <c r="AF215" s="16" t="s">
        <v>507</v>
      </c>
      <c r="AG215" s="3">
        <v>1994</v>
      </c>
      <c r="AH215" s="4"/>
      <c r="AI215" s="6">
        <v>6626</v>
      </c>
      <c r="AJ215" s="38">
        <v>100</v>
      </c>
      <c r="AK215" s="3"/>
      <c r="AL215" s="1" t="s">
        <v>472</v>
      </c>
      <c r="AM215" s="37"/>
      <c r="AN215" s="37"/>
      <c r="AO215" s="37"/>
      <c r="AP215" s="37"/>
      <c r="AQ215" s="37">
        <f>(2155*9.5)/1000</f>
        <v>20.4725</v>
      </c>
      <c r="AR215" s="37">
        <f>(2884*9.5)/1000</f>
        <v>27.398</v>
      </c>
      <c r="AS215" s="37">
        <f>(2073*9.5)/1000</f>
        <v>19.6935</v>
      </c>
      <c r="AT215" s="37">
        <f>(1636*9.5)/1000</f>
        <v>15.542</v>
      </c>
      <c r="AU215" s="37">
        <v>788</v>
      </c>
      <c r="AV215" s="39">
        <v>997</v>
      </c>
      <c r="AW215" s="39">
        <v>680.4</v>
      </c>
      <c r="AX215" s="39">
        <v>598.29999999999995</v>
      </c>
      <c r="AY215" s="37"/>
      <c r="AZ215" s="37"/>
      <c r="BA215" s="37"/>
      <c r="BB215" s="37"/>
      <c r="BC215" s="37">
        <v>294</v>
      </c>
      <c r="BD215" s="37">
        <v>247.2</v>
      </c>
      <c r="BE215" s="37">
        <v>157.9</v>
      </c>
      <c r="BF215" s="37">
        <v>152.1</v>
      </c>
      <c r="BG215" s="42"/>
      <c r="BH215" s="42">
        <v>20.776499999999999</v>
      </c>
      <c r="BI215" s="42">
        <v>765.92499999999995</v>
      </c>
      <c r="BJ215" s="42"/>
      <c r="BK215" s="44">
        <v>786.7014999999999</v>
      </c>
      <c r="BL215" s="44">
        <v>212.8</v>
      </c>
      <c r="BM215" s="44">
        <f>+BK215+BL215</f>
        <v>999.50149999999985</v>
      </c>
      <c r="BN215" s="47">
        <v>138.47940503432491</v>
      </c>
      <c r="BO215" s="47">
        <v>37.458193979933114</v>
      </c>
      <c r="BP215" s="45">
        <v>175.93759901425804</v>
      </c>
      <c r="BQ215" s="9">
        <v>5681</v>
      </c>
      <c r="BR215" s="4" t="s">
        <v>1037</v>
      </c>
      <c r="BS215" s="4">
        <v>1994</v>
      </c>
      <c r="BT215" s="4" t="s">
        <v>1038</v>
      </c>
      <c r="BU215" s="4" t="s">
        <v>1039</v>
      </c>
      <c r="BV215" s="4" t="s">
        <v>901</v>
      </c>
      <c r="BW215" s="4"/>
      <c r="BX215" s="4"/>
      <c r="BY215" s="9">
        <f>+INT(BK215*faktorji!$B$6)</f>
        <v>98337</v>
      </c>
      <c r="BZ215" s="9">
        <f>+INT(BL215*faktorji!$B$4)</f>
        <v>35112</v>
      </c>
      <c r="CA215" s="3" t="s">
        <v>1300</v>
      </c>
      <c r="CB215" s="4">
        <v>1</v>
      </c>
      <c r="CC215" s="4">
        <v>0</v>
      </c>
      <c r="CD215" s="4">
        <v>0</v>
      </c>
      <c r="CE215" s="4">
        <v>0</v>
      </c>
      <c r="CF215" s="4">
        <v>1</v>
      </c>
      <c r="CG215" s="4">
        <v>1</v>
      </c>
      <c r="CH215" s="4">
        <v>1</v>
      </c>
      <c r="CI215" s="9">
        <f>+BQ215*(CB215*faktorji!$B$21+'MOL_tabela rezultatov'!CF195*faktorji!$B$23+'MOL_tabela rezultatov'!CH195*faktorji!$B$26)+faktorji!$B$27*CG215</f>
        <v>111736.5</v>
      </c>
      <c r="CJ215" s="9">
        <f>+(BZ215*CF215*faktorji!$B$18)+(CG215*faktorji!$B$17*('MOL_tabela rezultatov'!BY195+'MOL_tabela rezultatov'!BZ195))+('MOL_tabela rezultatov'!CH195*faktorji!$B$16*'MOL_tabela rezultatov'!BY195)+('MOL_tabela rezultatov'!CB195*faktorji!$B$12*'MOL_tabela rezultatov'!BY195)</f>
        <v>6956.4000000000005</v>
      </c>
      <c r="CK215" s="66">
        <f>+CI215/CJ215</f>
        <v>16.062402967051923</v>
      </c>
      <c r="CL215" s="3" t="str">
        <f>CONCATENATE(IF(CB215&gt;0,"kotlovnica/toplotna postaja, ",""),IF(CF215&gt;0,"razsvetljava, ",""),IF(CG215&gt;0,"energetsko upravljanje, ",""),IF(CH215&gt;0,"manjši investicijski in organizacijski ukrepi, ",""))</f>
        <v xml:space="preserve">kotlovnica/toplotna postaja, razsvetljava, energetsko upravljanje, manjši investicijski in organizacijski ukrepi, </v>
      </c>
      <c r="CM215" s="9">
        <f>+CJ215*0.9</f>
        <v>6260.76</v>
      </c>
      <c r="CN215" s="9">
        <f>+CJ215*0.9</f>
        <v>6260.76</v>
      </c>
      <c r="CO215" s="9">
        <f>+CJ215*0.9</f>
        <v>6260.76</v>
      </c>
      <c r="CP215" s="69">
        <f>+IF(CI215-SUM(CM215:CO215)&lt;0,0,CI215-SUM(CM215:CO215))</f>
        <v>92954.22</v>
      </c>
      <c r="CQ215" s="9">
        <f>+(BQ215*CE215*faktorji!$B$24)+(BQ215^0.5*CC215*4*4*0.66*faktorji!$B$22)+(BQ215^0.5*CD215*4*4*0.33*faktorji!$B$25)</f>
        <v>0</v>
      </c>
      <c r="CR215" s="3" t="str">
        <f t="shared" si="161"/>
        <v/>
      </c>
      <c r="CS215" s="9">
        <f>+BQ215*('MOL_tabela rezultatov'!CH215*faktorji!$B$26)+faktorji!$B$27*CG215</f>
        <v>26521.5</v>
      </c>
      <c r="CT215" s="3" t="str">
        <f t="shared" si="159"/>
        <v xml:space="preserve">energetsko upravljanje, manjši investicijski in organizacijski ukrepi, </v>
      </c>
      <c r="CU215" s="9">
        <f t="shared" si="190"/>
        <v>6630.375</v>
      </c>
      <c r="CV215" s="9">
        <f t="shared" ref="CV215:CX215" si="193">+CU215</f>
        <v>6630.375</v>
      </c>
      <c r="CW215" s="9">
        <f t="shared" si="193"/>
        <v>6630.375</v>
      </c>
      <c r="CX215" s="69">
        <f t="shared" si="193"/>
        <v>6630.375</v>
      </c>
    </row>
    <row r="216" spans="1:102" s="10" customFormat="1" ht="18" hidden="1" customHeight="1">
      <c r="A216" s="54" t="s">
        <v>318</v>
      </c>
      <c r="B216" s="137" t="s">
        <v>319</v>
      </c>
      <c r="C216" s="56"/>
      <c r="D216" s="56"/>
      <c r="E216" s="51" t="s">
        <v>1174</v>
      </c>
      <c r="F216" s="51"/>
      <c r="G216" s="51">
        <v>4</v>
      </c>
      <c r="H216" s="51"/>
      <c r="I216" s="51"/>
      <c r="J216" s="51">
        <v>7</v>
      </c>
      <c r="K216" s="37" t="s">
        <v>1241</v>
      </c>
      <c r="L216" s="50"/>
      <c r="M216" s="4" t="s">
        <v>7</v>
      </c>
      <c r="N216" s="25"/>
      <c r="O216" s="25"/>
      <c r="P216" s="25">
        <v>34.922738673390356</v>
      </c>
      <c r="Q216" s="25"/>
      <c r="R216" s="25"/>
      <c r="S216" s="25"/>
      <c r="T216" s="25">
        <v>6.5443346395949229</v>
      </c>
      <c r="U216" s="25">
        <v>41.467073312985278</v>
      </c>
      <c r="V216" s="30">
        <v>26.602986339816759</v>
      </c>
      <c r="W216" s="30">
        <v>141.96235233085511</v>
      </c>
      <c r="X216" s="31"/>
      <c r="Y216" s="31"/>
      <c r="Z216" s="31"/>
      <c r="AA216" s="31"/>
      <c r="AB216" s="31"/>
      <c r="AC216" s="31"/>
      <c r="AD216" s="31"/>
      <c r="AE216" s="32"/>
      <c r="AF216" s="1"/>
      <c r="AG216" s="4"/>
      <c r="AH216" s="4"/>
      <c r="AI216" s="6">
        <v>246</v>
      </c>
      <c r="AJ216" s="38"/>
      <c r="AK216" s="3"/>
      <c r="AL216" s="1"/>
      <c r="AM216" s="37"/>
      <c r="AN216" s="37"/>
      <c r="AO216" s="37"/>
      <c r="AP216" s="37"/>
      <c r="AQ216" s="37"/>
      <c r="AR216" s="37"/>
      <c r="AS216" s="37"/>
      <c r="AT216" s="37"/>
      <c r="AU216" s="37"/>
      <c r="AV216" s="37"/>
      <c r="AW216" s="37"/>
      <c r="AX216" s="37"/>
      <c r="AY216" s="37"/>
      <c r="AZ216" s="37"/>
      <c r="BA216" s="37"/>
      <c r="BB216" s="37"/>
      <c r="BC216" s="37"/>
      <c r="BD216" s="37"/>
      <c r="BE216" s="37"/>
      <c r="BF216" s="37"/>
      <c r="BG216" s="42"/>
      <c r="BH216" s="42"/>
      <c r="BI216" s="42">
        <v>32.004599999999996</v>
      </c>
      <c r="BJ216" s="42"/>
      <c r="BK216" s="44">
        <v>32.004599999999996</v>
      </c>
      <c r="BL216" s="44">
        <v>5.7809999999999997</v>
      </c>
      <c r="BM216" s="44">
        <f>+BK216+BL216</f>
        <v>37.785599999999995</v>
      </c>
      <c r="BN216" s="47">
        <v>130.1</v>
      </c>
      <c r="BO216" s="47">
        <v>23.5</v>
      </c>
      <c r="BP216" s="45">
        <v>153.6</v>
      </c>
      <c r="BQ216" s="6">
        <v>246</v>
      </c>
      <c r="BR216" s="4"/>
      <c r="BS216" s="4"/>
      <c r="BT216" s="4"/>
      <c r="BU216" s="4"/>
      <c r="BV216" s="4"/>
      <c r="BW216" s="4"/>
      <c r="BX216" s="4"/>
      <c r="BY216" s="9">
        <f>+INT(BK216*faktorji!$B$6)</f>
        <v>4000</v>
      </c>
      <c r="BZ216" s="9">
        <f>+INT(BL216*faktorji!$B$4)</f>
        <v>953</v>
      </c>
      <c r="CA216" s="4"/>
      <c r="CB216" s="4">
        <v>0</v>
      </c>
      <c r="CC216" s="4">
        <v>0</v>
      </c>
      <c r="CD216" s="4">
        <v>0</v>
      </c>
      <c r="CE216" s="4">
        <v>0</v>
      </c>
      <c r="CF216" s="4">
        <v>1</v>
      </c>
      <c r="CG216" s="4">
        <v>1</v>
      </c>
      <c r="CH216" s="4">
        <v>1</v>
      </c>
      <c r="CI216" s="9">
        <f>+BQ216*(CB216*faktorji!$B$21+'MOL_tabela rezultatov'!CF126*faktorji!$B$23+'MOL_tabela rezultatov'!CH126*faktorji!$B$26)+faktorji!$B$27*CG216</f>
        <v>18369</v>
      </c>
      <c r="CJ216" s="9">
        <f>+(BZ216*CF216*faktorji!$B$18)+(CG216*faktorji!$B$17*('MOL_tabela rezultatov'!BY126+'MOL_tabela rezultatov'!BZ126))+('MOL_tabela rezultatov'!CH126*faktorji!$B$16*'MOL_tabela rezultatov'!BY126)+('MOL_tabela rezultatov'!CB126*faktorji!$B$12*'MOL_tabela rezultatov'!BY126)</f>
        <v>9293.0499999999993</v>
      </c>
      <c r="CK216" s="66">
        <f>+CI216/CJ216</f>
        <v>1.9766384556200602</v>
      </c>
      <c r="CL216" s="3" t="str">
        <f>CONCATENATE(IF(CB216&gt;0,"kotlovnica/toplotna postaja, ",""),IF(CF216&gt;0,"razsvetljava, ",""),IF(CG216&gt;0,"energetsko upravljanje, ",""),IF(CH216&gt;0,"manjši investicijski in organizacijski ukrepi, ",""))</f>
        <v xml:space="preserve">razsvetljava, energetsko upravljanje, manjši investicijski in organizacijski ukrepi, </v>
      </c>
      <c r="CM216" s="9">
        <f>+CJ216*0.9</f>
        <v>8363.744999999999</v>
      </c>
      <c r="CN216" s="9">
        <f>+CJ216*0.9</f>
        <v>8363.744999999999</v>
      </c>
      <c r="CO216" s="9">
        <f>+CJ216*0.9</f>
        <v>8363.744999999999</v>
      </c>
      <c r="CP216" s="69">
        <f>+IF(CI216-SUM(CM216:CO216)&lt;0,0,CI216-SUM(CM216:CO216))</f>
        <v>0</v>
      </c>
      <c r="CQ216" s="9">
        <f>+(BQ216*CE216*faktorji!$B$24)+(BQ216^0.5*CC216*4*4*0.66*faktorji!$B$22)+(BQ216^0.5*CD216*4*4*0.33*faktorji!$B$25)</f>
        <v>0</v>
      </c>
      <c r="CR216" s="3" t="str">
        <f t="shared" si="161"/>
        <v/>
      </c>
      <c r="CS216" s="9">
        <f>+BQ216*('MOL_tabela rezultatov'!CH216*faktorji!$B$26)+faktorji!$B$27*CG216</f>
        <v>18369</v>
      </c>
      <c r="CT216" s="3" t="str">
        <f t="shared" si="159"/>
        <v xml:space="preserve">energetsko upravljanje, manjši investicijski in organizacijski ukrepi, </v>
      </c>
      <c r="CU216" s="9">
        <f t="shared" si="190"/>
        <v>4592.25</v>
      </c>
      <c r="CV216" s="9">
        <f t="shared" ref="CV216:CX216" si="194">+CU216</f>
        <v>4592.25</v>
      </c>
      <c r="CW216" s="9">
        <f t="shared" si="194"/>
        <v>4592.25</v>
      </c>
      <c r="CX216" s="69">
        <f t="shared" si="194"/>
        <v>4592.25</v>
      </c>
    </row>
    <row r="217" spans="1:102" s="10" customFormat="1" ht="18" hidden="1" customHeight="1">
      <c r="A217" s="53" t="s">
        <v>615</v>
      </c>
      <c r="B217" s="137" t="s">
        <v>319</v>
      </c>
      <c r="C217" s="57"/>
      <c r="D217" s="57"/>
      <c r="E217" s="51" t="s">
        <v>1176</v>
      </c>
      <c r="F217" s="51"/>
      <c r="G217" s="51">
        <v>3</v>
      </c>
      <c r="H217" s="51"/>
      <c r="I217" s="51"/>
      <c r="J217" s="51">
        <v>7</v>
      </c>
      <c r="K217" s="37" t="s">
        <v>1243</v>
      </c>
      <c r="L217" s="50"/>
      <c r="M217" s="4" t="s">
        <v>7</v>
      </c>
      <c r="N217" s="25"/>
      <c r="O217" s="25"/>
      <c r="P217" s="25">
        <v>10.199999999999999</v>
      </c>
      <c r="Q217" s="25"/>
      <c r="R217" s="25"/>
      <c r="S217" s="25"/>
      <c r="T217" s="27">
        <v>12.416</v>
      </c>
      <c r="U217" s="25">
        <v>22.616</v>
      </c>
      <c r="V217" s="30">
        <v>55.677130044843054</v>
      </c>
      <c r="W217" s="30">
        <v>45.739910313901348</v>
      </c>
      <c r="X217" s="31"/>
      <c r="Y217" s="31"/>
      <c r="Z217" s="31"/>
      <c r="AA217" s="31"/>
      <c r="AB217" s="31"/>
      <c r="AC217" s="31"/>
      <c r="AD217" s="31"/>
      <c r="AE217" s="32"/>
      <c r="AF217" s="16" t="s">
        <v>613</v>
      </c>
      <c r="AG217" s="3"/>
      <c r="AH217" s="4"/>
      <c r="AI217" s="6">
        <v>223</v>
      </c>
      <c r="AJ217" s="38">
        <v>100</v>
      </c>
      <c r="AK217" s="3"/>
      <c r="AL217" s="1" t="s">
        <v>616</v>
      </c>
      <c r="AM217" s="37"/>
      <c r="AN217" s="37"/>
      <c r="AO217" s="37"/>
      <c r="AP217" s="37"/>
      <c r="AQ217" s="37"/>
      <c r="AR217" s="37"/>
      <c r="AS217" s="37"/>
      <c r="AT217" s="37"/>
      <c r="AU217" s="37"/>
      <c r="AV217" s="37"/>
      <c r="AW217" s="37"/>
      <c r="AX217" s="37"/>
      <c r="AY217" s="37"/>
      <c r="AZ217" s="37"/>
      <c r="BA217" s="37"/>
      <c r="BB217" s="37"/>
      <c r="BC217" s="37">
        <v>7.3</v>
      </c>
      <c r="BD217" s="37">
        <v>7.9</v>
      </c>
      <c r="BE217" s="37">
        <v>7.5</v>
      </c>
      <c r="BF217" s="37">
        <v>7.7</v>
      </c>
      <c r="BG217" s="42"/>
      <c r="BH217" s="42">
        <v>19.440000000000001</v>
      </c>
      <c r="BI217" s="43"/>
      <c r="BJ217" s="43"/>
      <c r="BK217" s="44">
        <v>19.440000000000001</v>
      </c>
      <c r="BL217" s="44">
        <v>7.6</v>
      </c>
      <c r="BM217" s="44">
        <f>+BK217+BL217</f>
        <v>27.04</v>
      </c>
      <c r="BN217" s="47">
        <v>86.785714285714292</v>
      </c>
      <c r="BO217" s="47">
        <v>33.928571428571431</v>
      </c>
      <c r="BP217" s="45">
        <v>120.71428571428571</v>
      </c>
      <c r="BQ217" s="9">
        <v>224</v>
      </c>
      <c r="BR217" s="4"/>
      <c r="BS217" s="4"/>
      <c r="BT217" s="4" t="s">
        <v>875</v>
      </c>
      <c r="BU217" s="4"/>
      <c r="BV217" s="4"/>
      <c r="BW217" s="4"/>
      <c r="BX217" s="4" t="s">
        <v>880</v>
      </c>
      <c r="BY217" s="9">
        <f>+INT(BK217*faktorji!$B$6)</f>
        <v>2430</v>
      </c>
      <c r="BZ217" s="9">
        <f>+INT(BL217*faktorji!$B$4)</f>
        <v>1254</v>
      </c>
      <c r="CA217" s="4"/>
      <c r="CB217" s="4">
        <v>0</v>
      </c>
      <c r="CC217" s="4">
        <v>0</v>
      </c>
      <c r="CD217" s="4">
        <v>0</v>
      </c>
      <c r="CE217" s="4">
        <v>0</v>
      </c>
      <c r="CF217" s="4">
        <v>1</v>
      </c>
      <c r="CG217" s="4">
        <v>1</v>
      </c>
      <c r="CH217" s="4">
        <v>1</v>
      </c>
      <c r="CI217" s="9">
        <f>+BQ217*(CB217*faktorji!$B$21+'MOL_tabela rezultatov'!CF225*faktorji!$B$23+'MOL_tabela rezultatov'!CH225*faktorji!$B$26)+faktorji!$B$27*CG217</f>
        <v>21696</v>
      </c>
      <c r="CJ217" s="9">
        <f>+(BZ217*CF217*faktorji!$B$18)+(CG217*faktorji!$B$17*('MOL_tabela rezultatov'!BY225+'MOL_tabela rezultatov'!BZ225))+('MOL_tabela rezultatov'!CH225*faktorji!$B$16*'MOL_tabela rezultatov'!BY225)+('MOL_tabela rezultatov'!CB225*faktorji!$B$12*'MOL_tabela rezultatov'!BY225)</f>
        <v>5710.6</v>
      </c>
      <c r="CK217" s="66">
        <f>+CI217/CJ217</f>
        <v>3.799250516583196</v>
      </c>
      <c r="CL217" s="3" t="str">
        <f>CONCATENATE(IF(CB217&gt;0,"kotlovnica/toplotna postaja, ",""),IF(CF217&gt;0,"razsvetljava, ",""),IF(CG217&gt;0,"energetsko upravljanje, ",""),IF(CH217&gt;0,"manjši investicijski in organizacijski ukrepi, ",""))</f>
        <v xml:space="preserve">razsvetljava, energetsko upravljanje, manjši investicijski in organizacijski ukrepi, </v>
      </c>
      <c r="CM217" s="9">
        <f>+CJ217*0.9</f>
        <v>5139.5400000000009</v>
      </c>
      <c r="CN217" s="9">
        <f>+CJ217*0.9</f>
        <v>5139.5400000000009</v>
      </c>
      <c r="CO217" s="9">
        <f>+CJ217*0.9</f>
        <v>5139.5400000000009</v>
      </c>
      <c r="CP217" s="69">
        <f>+IF(CI217-SUM(CM217:CO217)&lt;0,0,CI217-SUM(CM217:CO217))</f>
        <v>6277.3799999999974</v>
      </c>
      <c r="CQ217" s="9">
        <f>+(BQ217*CE217*faktorji!$B$24)+(BQ217^0.5*CC217*4*4*0.66*faktorji!$B$22)+(BQ217^0.5*CD217*4*4*0.33*faktorji!$B$25)</f>
        <v>0</v>
      </c>
      <c r="CR217" s="3" t="str">
        <f t="shared" si="161"/>
        <v/>
      </c>
      <c r="CS217" s="9">
        <f>+BQ217*('MOL_tabela rezultatov'!CH217*faktorji!$B$26)+faktorji!$B$27*CG217</f>
        <v>18336</v>
      </c>
      <c r="CT217" s="3" t="str">
        <f t="shared" si="159"/>
        <v xml:space="preserve">energetsko upravljanje, manjši investicijski in organizacijski ukrepi, </v>
      </c>
      <c r="CU217" s="9">
        <f t="shared" si="190"/>
        <v>4584</v>
      </c>
      <c r="CV217" s="9">
        <f t="shared" ref="CV217:CX217" si="195">+CU217</f>
        <v>4584</v>
      </c>
      <c r="CW217" s="9">
        <f t="shared" si="195"/>
        <v>4584</v>
      </c>
      <c r="CX217" s="69">
        <f t="shared" si="195"/>
        <v>4584</v>
      </c>
    </row>
    <row r="218" spans="1:102" s="10" customFormat="1" ht="18" hidden="1" customHeight="1">
      <c r="A218" s="53" t="s">
        <v>197</v>
      </c>
      <c r="B218" s="2" t="s">
        <v>198</v>
      </c>
      <c r="C218" s="57"/>
      <c r="D218" s="57"/>
      <c r="E218" s="51" t="s">
        <v>1171</v>
      </c>
      <c r="F218" s="51"/>
      <c r="G218" s="51">
        <v>3</v>
      </c>
      <c r="H218" s="51"/>
      <c r="I218" s="51"/>
      <c r="J218" s="51">
        <v>7</v>
      </c>
      <c r="K218" s="37" t="s">
        <v>1244</v>
      </c>
      <c r="L218" s="50"/>
      <c r="M218" s="4" t="s">
        <v>5</v>
      </c>
      <c r="N218" s="25">
        <v>212.53</v>
      </c>
      <c r="O218" s="25"/>
      <c r="P218" s="25"/>
      <c r="Q218" s="25"/>
      <c r="R218" s="25"/>
      <c r="S218" s="25"/>
      <c r="T218" s="25">
        <v>158.77000000000001</v>
      </c>
      <c r="U218" s="25">
        <v>371.3</v>
      </c>
      <c r="V218" s="30">
        <v>83.256423702149974</v>
      </c>
      <c r="W218" s="30">
        <v>111.44729942317777</v>
      </c>
      <c r="X218" s="31">
        <v>169.27</v>
      </c>
      <c r="Y218" s="31"/>
      <c r="Z218" s="31"/>
      <c r="AA218" s="31"/>
      <c r="AB218" s="31"/>
      <c r="AC218" s="31">
        <v>150.62</v>
      </c>
      <c r="AD218" s="31"/>
      <c r="AE218" s="32">
        <v>88.76245411641321</v>
      </c>
      <c r="AF218" s="1" t="s">
        <v>199</v>
      </c>
      <c r="AG218" s="4"/>
      <c r="AH218" s="4" t="s">
        <v>200</v>
      </c>
      <c r="AI218" s="4">
        <v>1907</v>
      </c>
      <c r="AJ218" s="38">
        <v>100</v>
      </c>
      <c r="AK218" s="3" t="s">
        <v>201</v>
      </c>
      <c r="AL218" s="1" t="s">
        <v>202</v>
      </c>
      <c r="AM218" s="37"/>
      <c r="AN218" s="37"/>
      <c r="AO218" s="37"/>
      <c r="AP218" s="37"/>
      <c r="AQ218" s="37"/>
      <c r="AR218" s="37"/>
      <c r="AS218" s="37"/>
      <c r="AT218" s="37"/>
      <c r="AU218" s="37"/>
      <c r="AV218" s="37"/>
      <c r="AW218" s="37"/>
      <c r="AX218" s="37"/>
      <c r="AY218" s="37"/>
      <c r="AZ218" s="37"/>
      <c r="BA218" s="37"/>
      <c r="BB218" s="37"/>
      <c r="BC218" s="37"/>
      <c r="BD218" s="37"/>
      <c r="BE218" s="37"/>
      <c r="BF218" s="37"/>
      <c r="BG218" s="42">
        <v>206.1</v>
      </c>
      <c r="BH218" s="42"/>
      <c r="BI218" s="42"/>
      <c r="BJ218" s="42"/>
      <c r="BK218" s="44">
        <v>206.1</v>
      </c>
      <c r="BL218" s="44">
        <v>158.77000000000001</v>
      </c>
      <c r="BM218" s="44">
        <f>+BK218+BL218</f>
        <v>364.87</v>
      </c>
      <c r="BN218" s="47">
        <v>108.07551127425275</v>
      </c>
      <c r="BO218" s="47">
        <v>83.256423702149974</v>
      </c>
      <c r="BP218" s="45">
        <v>191.33193497640272</v>
      </c>
      <c r="BQ218" s="9">
        <v>1907</v>
      </c>
      <c r="BR218" s="4"/>
      <c r="BS218" s="4"/>
      <c r="BT218" s="4"/>
      <c r="BU218" s="4"/>
      <c r="BV218" s="4"/>
      <c r="BW218" s="4"/>
      <c r="BX218" s="4"/>
      <c r="BY218" s="9">
        <f>+INT(BK218*faktorji!$B$3)</f>
        <v>13396</v>
      </c>
      <c r="BZ218" s="9">
        <f>+INT(BL218*faktorji!$B$4)</f>
        <v>26197</v>
      </c>
      <c r="CA218" s="4"/>
      <c r="CB218" s="4">
        <v>0</v>
      </c>
      <c r="CC218" s="4">
        <v>0</v>
      </c>
      <c r="CD218" s="4">
        <v>0</v>
      </c>
      <c r="CE218" s="4">
        <v>0</v>
      </c>
      <c r="CF218" s="4">
        <v>1</v>
      </c>
      <c r="CG218" s="4">
        <v>1</v>
      </c>
      <c r="CH218" s="4">
        <v>1</v>
      </c>
      <c r="CI218" s="9">
        <f>+BQ218*(CB218*faktorji!$B$21+'MOL_tabela rezultatov'!CF70*faktorji!$B$23+'MOL_tabela rezultatov'!CH70*faktorji!$B$26)+faktorji!$B$27*CG218</f>
        <v>18000</v>
      </c>
      <c r="CJ218" s="9">
        <f>+(BZ218*CF218*faktorji!$B$18)+(CG218*faktorji!$B$17*('MOL_tabela rezultatov'!BY70+'MOL_tabela rezultatov'!BZ70))+('MOL_tabela rezultatov'!CH70*faktorji!$B$16*'MOL_tabela rezultatov'!BY70)+('MOL_tabela rezultatov'!CB70*faktorji!$B$12*'MOL_tabela rezultatov'!BY70)</f>
        <v>5690.5499999999993</v>
      </c>
      <c r="CK218" s="66">
        <f>+CI218/CJ218</f>
        <v>3.1631388881566811</v>
      </c>
      <c r="CL218" s="3" t="str">
        <f>CONCATENATE(IF(CB218&gt;0,"kotlovnica/toplotna postaja, ",""),IF(CF218&gt;0,"razsvetljava, ",""),IF(CG218&gt;0,"energetsko upravljanje, ",""),IF(CH218&gt;0,"manjši investicijski in organizacijski ukrepi, ",""))</f>
        <v xml:space="preserve">razsvetljava, energetsko upravljanje, manjši investicijski in organizacijski ukrepi, </v>
      </c>
      <c r="CM218" s="9">
        <f>+CJ218*0.9</f>
        <v>5121.4949999999999</v>
      </c>
      <c r="CN218" s="9">
        <f>+CJ218*0.9</f>
        <v>5121.4949999999999</v>
      </c>
      <c r="CO218" s="9">
        <f>+CJ218*0.9</f>
        <v>5121.4949999999999</v>
      </c>
      <c r="CP218" s="69">
        <f>+IF(CI218-SUM(CM218:CO218)&lt;0,0,CI218-SUM(CM218:CO218))</f>
        <v>2635.5149999999994</v>
      </c>
      <c r="CQ218" s="9">
        <f>+(BQ218*CE218*faktorji!$B$24)+(BQ218^0.5*CC218*4*4*0.66*faktorji!$B$22)+(BQ218^0.5*CD218*4*4*0.33*faktorji!$B$25)</f>
        <v>0</v>
      </c>
      <c r="CR218" s="3" t="str">
        <f t="shared" si="161"/>
        <v/>
      </c>
      <c r="CS218" s="9">
        <f>+BQ218*('MOL_tabela rezultatov'!CH218*faktorji!$B$26)+faktorji!$B$27*CG218</f>
        <v>20860.5</v>
      </c>
      <c r="CT218" s="3" t="str">
        <f t="shared" si="159"/>
        <v xml:space="preserve">energetsko upravljanje, manjši investicijski in organizacijski ukrepi, </v>
      </c>
      <c r="CU218" s="9">
        <f t="shared" si="190"/>
        <v>5215.125</v>
      </c>
      <c r="CV218" s="9">
        <f t="shared" ref="CV218:CX218" si="196">+CU218</f>
        <v>5215.125</v>
      </c>
      <c r="CW218" s="9">
        <f t="shared" si="196"/>
        <v>5215.125</v>
      </c>
      <c r="CX218" s="69">
        <f t="shared" si="196"/>
        <v>5215.125</v>
      </c>
    </row>
    <row r="219" spans="1:102" s="10" customFormat="1" ht="18" hidden="1" customHeight="1">
      <c r="A219" s="53" t="s">
        <v>579</v>
      </c>
      <c r="B219" s="2" t="s">
        <v>580</v>
      </c>
      <c r="C219" s="57"/>
      <c r="D219" s="57"/>
      <c r="E219" s="51" t="s">
        <v>1175</v>
      </c>
      <c r="F219" s="51"/>
      <c r="G219" s="51">
        <v>3</v>
      </c>
      <c r="H219" s="51"/>
      <c r="I219" s="51"/>
      <c r="J219" s="51">
        <v>7</v>
      </c>
      <c r="K219" s="37" t="s">
        <v>1243</v>
      </c>
      <c r="L219" s="50"/>
      <c r="M219" s="4" t="s">
        <v>5</v>
      </c>
      <c r="N219" s="25">
        <v>487</v>
      </c>
      <c r="O219" s="25"/>
      <c r="P219" s="25"/>
      <c r="Q219" s="25"/>
      <c r="R219" s="25"/>
      <c r="S219" s="25"/>
      <c r="T219" s="25">
        <v>85.341999999999999</v>
      </c>
      <c r="U219" s="25">
        <v>572.34199999999998</v>
      </c>
      <c r="V219" s="30">
        <v>18.270605865981587</v>
      </c>
      <c r="W219" s="30">
        <v>104.26032969385571</v>
      </c>
      <c r="X219" s="31"/>
      <c r="Y219" s="31"/>
      <c r="Z219" s="31"/>
      <c r="AA219" s="31"/>
      <c r="AB219" s="31"/>
      <c r="AC219" s="31"/>
      <c r="AD219" s="31"/>
      <c r="AE219" s="32"/>
      <c r="AF219" s="16" t="s">
        <v>581</v>
      </c>
      <c r="AG219" s="3" t="s">
        <v>582</v>
      </c>
      <c r="AH219" s="4"/>
      <c r="AI219" s="6">
        <v>4671</v>
      </c>
      <c r="AJ219" s="38">
        <v>100</v>
      </c>
      <c r="AK219" s="3"/>
      <c r="AL219" s="1" t="s">
        <v>421</v>
      </c>
      <c r="AM219" s="37">
        <f>425+50.3</f>
        <v>475.3</v>
      </c>
      <c r="AN219" s="37">
        <f>602.6+47.9</f>
        <v>650.5</v>
      </c>
      <c r="AO219" s="37">
        <f>544+26.5+19.73</f>
        <v>590.23</v>
      </c>
      <c r="AP219" s="37">
        <f>536.9+54.6</f>
        <v>591.5</v>
      </c>
      <c r="AQ219" s="37"/>
      <c r="AR219" s="37"/>
      <c r="AS219" s="37"/>
      <c r="AT219" s="37"/>
      <c r="AU219" s="37"/>
      <c r="AV219" s="37"/>
      <c r="AW219" s="37"/>
      <c r="AX219" s="37"/>
      <c r="AY219" s="37"/>
      <c r="AZ219" s="37"/>
      <c r="BA219" s="37"/>
      <c r="BB219" s="37"/>
      <c r="BC219" s="37">
        <v>82.1</v>
      </c>
      <c r="BD219" s="37">
        <v>85.9</v>
      </c>
      <c r="BE219" s="37">
        <v>81.8</v>
      </c>
      <c r="BF219" s="37">
        <v>82.2</v>
      </c>
      <c r="BG219" s="42">
        <v>576.88249999999994</v>
      </c>
      <c r="BH219" s="42"/>
      <c r="BI219" s="42"/>
      <c r="BJ219" s="42"/>
      <c r="BK219" s="44">
        <v>576.88249999999994</v>
      </c>
      <c r="BL219" s="44">
        <v>83</v>
      </c>
      <c r="BM219" s="44">
        <f>+BK219+BL219</f>
        <v>659.88249999999994</v>
      </c>
      <c r="BN219" s="47">
        <v>125.02871694841784</v>
      </c>
      <c r="BO219" s="47">
        <v>17.98872995231903</v>
      </c>
      <c r="BP219" s="45">
        <v>143.01744690073687</v>
      </c>
      <c r="BQ219" s="9">
        <v>4614</v>
      </c>
      <c r="BR219" s="4" t="s">
        <v>1068</v>
      </c>
      <c r="BS219" s="4">
        <v>2011</v>
      </c>
      <c r="BT219" s="4" t="s">
        <v>872</v>
      </c>
      <c r="BU219" s="4"/>
      <c r="BV219" s="4" t="s">
        <v>1069</v>
      </c>
      <c r="BW219" s="4" t="s">
        <v>1070</v>
      </c>
      <c r="BX219" s="4"/>
      <c r="BY219" s="9">
        <f>+INT(BK219*faktorji!$B$3)</f>
        <v>37497</v>
      </c>
      <c r="BZ219" s="9">
        <f>+INT(BL219*faktorji!$B$4)</f>
        <v>13695</v>
      </c>
      <c r="CA219" s="4"/>
      <c r="CB219" s="4">
        <v>0</v>
      </c>
      <c r="CC219" s="4">
        <v>0</v>
      </c>
      <c r="CD219" s="4">
        <v>0</v>
      </c>
      <c r="CE219" s="4">
        <v>0</v>
      </c>
      <c r="CF219" s="4">
        <v>0</v>
      </c>
      <c r="CG219" s="4">
        <v>1</v>
      </c>
      <c r="CH219" s="4">
        <v>1</v>
      </c>
      <c r="CI219" s="9">
        <f>+BQ219*(CB219*faktorji!$B$21+'MOL_tabela rezultatov'!CF216*faktorji!$B$23+'MOL_tabela rezultatov'!CH216*faktorji!$B$26)+faktorji!$B$27*CG219</f>
        <v>94131</v>
      </c>
      <c r="CJ219" s="9">
        <f>+(BZ219*CF219*faktorji!$B$18)+(CG219*faktorji!$B$17*('MOL_tabela rezultatov'!BY216+'MOL_tabela rezultatov'!BZ216))+('MOL_tabela rezultatov'!CH216*faktorji!$B$16*'MOL_tabela rezultatov'!BY216)+('MOL_tabela rezultatov'!CB216*faktorji!$B$12*'MOL_tabela rezultatov'!BY216)</f>
        <v>895.3</v>
      </c>
      <c r="CK219" s="66">
        <f>+CI219/CJ219</f>
        <v>105.13905953311739</v>
      </c>
      <c r="CL219" s="3" t="str">
        <f>CONCATENATE(IF(CB219&gt;0,"kotlovnica/toplotna postaja, ",""),IF(CF219&gt;0,"razsvetljava, ",""),IF(CG219&gt;0,"energetsko upravljanje, ",""),IF(CH219&gt;0,"manjši investicijski in organizacijski ukrepi, ",""))</f>
        <v xml:space="preserve">energetsko upravljanje, manjši investicijski in organizacijski ukrepi, </v>
      </c>
      <c r="CM219" s="9">
        <f>+CJ219*0.9</f>
        <v>805.77</v>
      </c>
      <c r="CN219" s="9">
        <f>+CJ219*0.9</f>
        <v>805.77</v>
      </c>
      <c r="CO219" s="9">
        <f>+CJ219*0.9</f>
        <v>805.77</v>
      </c>
      <c r="CP219" s="69">
        <f>+IF(CI219-SUM(CM219:CO219)&lt;0,0,CI219-SUM(CM219:CO219))</f>
        <v>91713.69</v>
      </c>
      <c r="CQ219" s="9">
        <f>+(BQ219*CE219*faktorji!$B$24)+(BQ219^0.5*CC219*4*4*0.66*faktorji!$B$22)+(BQ219^0.5*CD219*4*4*0.33*faktorji!$B$25)</f>
        <v>0</v>
      </c>
      <c r="CR219" s="3" t="str">
        <f t="shared" si="161"/>
        <v/>
      </c>
      <c r="CS219" s="9">
        <f>+BQ219*('MOL_tabela rezultatov'!CH219*faktorji!$B$26)+faktorji!$B$27*CG219</f>
        <v>24921</v>
      </c>
      <c r="CT219" s="3" t="str">
        <f t="shared" si="159"/>
        <v xml:space="preserve">energetsko upravljanje, manjši investicijski in organizacijski ukrepi, </v>
      </c>
      <c r="CU219" s="9">
        <f t="shared" si="190"/>
        <v>6230.25</v>
      </c>
      <c r="CV219" s="9">
        <f t="shared" ref="CV219:CX219" si="197">+CU219</f>
        <v>6230.25</v>
      </c>
      <c r="CW219" s="9">
        <f t="shared" si="197"/>
        <v>6230.25</v>
      </c>
      <c r="CX219" s="69">
        <f t="shared" si="197"/>
        <v>6230.25</v>
      </c>
    </row>
    <row r="220" spans="1:102" s="10" customFormat="1" ht="18" hidden="1" customHeight="1">
      <c r="A220" s="54" t="s">
        <v>149</v>
      </c>
      <c r="B220" s="3" t="s">
        <v>150</v>
      </c>
      <c r="C220" s="56"/>
      <c r="D220" s="56"/>
      <c r="E220" s="51" t="s">
        <v>1169</v>
      </c>
      <c r="F220" s="51"/>
      <c r="G220" s="51">
        <v>4</v>
      </c>
      <c r="H220" s="51"/>
      <c r="I220" s="51"/>
      <c r="J220" s="51">
        <v>6</v>
      </c>
      <c r="K220" s="37" t="s">
        <v>1242</v>
      </c>
      <c r="L220" s="50"/>
      <c r="M220" s="4" t="s">
        <v>5</v>
      </c>
      <c r="N220" s="25">
        <v>11.042416666666668</v>
      </c>
      <c r="O220" s="25"/>
      <c r="P220" s="25"/>
      <c r="Q220" s="25"/>
      <c r="R220" s="25"/>
      <c r="S220" s="25"/>
      <c r="T220" s="25">
        <v>4.3544166666666673</v>
      </c>
      <c r="U220" s="25">
        <v>15.396833333333335</v>
      </c>
      <c r="V220" s="30">
        <v>45.835964912280708</v>
      </c>
      <c r="W220" s="30">
        <v>116.23596491228072</v>
      </c>
      <c r="X220" s="31"/>
      <c r="Y220" s="31"/>
      <c r="Z220" s="31"/>
      <c r="AA220" s="31"/>
      <c r="AB220" s="31"/>
      <c r="AC220" s="31"/>
      <c r="AD220" s="31"/>
      <c r="AE220" s="32"/>
      <c r="AF220" s="1"/>
      <c r="AG220" s="4">
        <v>2003</v>
      </c>
      <c r="AH220" s="4"/>
      <c r="AI220" s="6">
        <v>95</v>
      </c>
      <c r="AJ220" s="38"/>
      <c r="AK220" s="3"/>
      <c r="AL220" s="1"/>
      <c r="AM220" s="37"/>
      <c r="AN220" s="37"/>
      <c r="AO220" s="37"/>
      <c r="AP220" s="37"/>
      <c r="AQ220" s="37"/>
      <c r="AR220" s="37"/>
      <c r="AS220" s="37"/>
      <c r="AT220" s="37"/>
      <c r="AU220" s="37"/>
      <c r="AV220" s="37"/>
      <c r="AW220" s="37"/>
      <c r="AX220" s="37"/>
      <c r="AY220" s="37"/>
      <c r="AZ220" s="37"/>
      <c r="BA220" s="37"/>
      <c r="BB220" s="37"/>
      <c r="BC220" s="37"/>
      <c r="BD220" s="37"/>
      <c r="BE220" s="37"/>
      <c r="BF220" s="37"/>
      <c r="BG220" s="42">
        <v>16.8918</v>
      </c>
      <c r="BH220" s="42"/>
      <c r="BI220" s="42"/>
      <c r="BJ220" s="42"/>
      <c r="BK220" s="44">
        <v>16.8918</v>
      </c>
      <c r="BL220" s="44">
        <v>12.915599999999998</v>
      </c>
      <c r="BM220" s="44">
        <f>+BK220+BL220</f>
        <v>29.807399999999998</v>
      </c>
      <c r="BN220" s="47">
        <v>119.8</v>
      </c>
      <c r="BO220" s="47">
        <v>91.6</v>
      </c>
      <c r="BP220" s="45">
        <v>211.39999999999998</v>
      </c>
      <c r="BQ220" s="9">
        <v>141</v>
      </c>
      <c r="BR220" s="4"/>
      <c r="BS220" s="4"/>
      <c r="BT220" s="4" t="s">
        <v>872</v>
      </c>
      <c r="BU220" s="4" t="s">
        <v>1113</v>
      </c>
      <c r="BV220" s="4"/>
      <c r="BW220" s="4"/>
      <c r="BX220" s="4"/>
      <c r="BY220" s="9">
        <f>+INT(BK220*faktorji!$B$3)</f>
        <v>1097</v>
      </c>
      <c r="BZ220" s="9">
        <f>+INT(BL220*faktorji!$B$4)</f>
        <v>2131</v>
      </c>
      <c r="CA220" s="4"/>
      <c r="CB220" s="4">
        <v>0</v>
      </c>
      <c r="CC220" s="4">
        <v>0</v>
      </c>
      <c r="CD220" s="4">
        <v>0</v>
      </c>
      <c r="CE220" s="4">
        <v>0</v>
      </c>
      <c r="CF220" s="4">
        <v>1</v>
      </c>
      <c r="CG220" s="4">
        <v>1</v>
      </c>
      <c r="CH220" s="4">
        <v>1</v>
      </c>
      <c r="CI220" s="9">
        <f>+BQ220*(CB220*faktorji!$B$21+'MOL_tabela rezultatov'!CF52*faktorji!$B$23+'MOL_tabela rezultatov'!CH52*faktorji!$B$26)+faktorji!$B$27*CG220</f>
        <v>18211.5</v>
      </c>
      <c r="CJ220" s="9">
        <f>+(BZ220*CF220*faktorji!$B$18)+(CG220*faktorji!$B$17*('MOL_tabela rezultatov'!BY52+'MOL_tabela rezultatov'!BZ52))+('MOL_tabela rezultatov'!CH52*faktorji!$B$16*'MOL_tabela rezultatov'!BY52)+('MOL_tabela rezultatov'!CB52*faktorji!$B$12*'MOL_tabela rezultatov'!BY52)</f>
        <v>1084.3499999999999</v>
      </c>
      <c r="CK220" s="66">
        <f>+CI220/CJ220</f>
        <v>16.794854060035966</v>
      </c>
      <c r="CL220" s="3" t="str">
        <f>CONCATENATE(IF(CB220&gt;0,"kotlovnica/toplotna postaja, ",""),IF(CF220&gt;0,"razsvetljava, ",""),IF(CG220&gt;0,"energetsko upravljanje, ",""),IF(CH220&gt;0,"manjši investicijski in organizacijski ukrepi, ",""))</f>
        <v xml:space="preserve">razsvetljava, energetsko upravljanje, manjši investicijski in organizacijski ukrepi, </v>
      </c>
      <c r="CM220" s="9">
        <f>+CJ220*0.9</f>
        <v>975.91499999999996</v>
      </c>
      <c r="CN220" s="9">
        <f>+CJ220*0.9</f>
        <v>975.91499999999996</v>
      </c>
      <c r="CO220" s="9">
        <f>+CJ220*0.9</f>
        <v>975.91499999999996</v>
      </c>
      <c r="CP220" s="69">
        <f>+IF(CI220-SUM(CM220:CO220)&lt;0,0,CI220-SUM(CM220:CO220))</f>
        <v>15283.755000000001</v>
      </c>
      <c r="CQ220" s="9">
        <f>+(BQ220*CE220*faktorji!$B$24)+(BQ220^0.5*CC220*4*4*0.66*faktorji!$B$22)+(BQ220^0.5*CD220*4*4*0.33*faktorji!$B$25)</f>
        <v>0</v>
      </c>
      <c r="CR220" s="3" t="str">
        <f t="shared" si="161"/>
        <v/>
      </c>
      <c r="CS220" s="9">
        <f>+BQ220*('MOL_tabela rezultatov'!CH220*faktorji!$B$26)+faktorji!$B$27*CG220</f>
        <v>18211.5</v>
      </c>
      <c r="CT220" s="3" t="str">
        <f t="shared" si="159"/>
        <v xml:space="preserve">energetsko upravljanje, manjši investicijski in organizacijski ukrepi, </v>
      </c>
      <c r="CU220" s="9">
        <f t="shared" si="190"/>
        <v>4552.875</v>
      </c>
      <c r="CV220" s="9">
        <f t="shared" ref="CV220:CX220" si="198">+CU220</f>
        <v>4552.875</v>
      </c>
      <c r="CW220" s="9">
        <f t="shared" si="198"/>
        <v>4552.875</v>
      </c>
      <c r="CX220" s="69">
        <f t="shared" si="198"/>
        <v>4552.875</v>
      </c>
    </row>
    <row r="221" spans="1:102" s="10" customFormat="1" ht="18" customHeight="1">
      <c r="A221" s="117" t="s">
        <v>839</v>
      </c>
      <c r="B221" s="146" t="s">
        <v>840</v>
      </c>
      <c r="C221" s="57"/>
      <c r="D221" s="57"/>
      <c r="E221" s="51" t="s">
        <v>1176</v>
      </c>
      <c r="F221" s="51"/>
      <c r="G221" s="51">
        <v>3</v>
      </c>
      <c r="H221" s="51" t="s">
        <v>1255</v>
      </c>
      <c r="I221" s="51"/>
      <c r="J221" s="51">
        <v>7</v>
      </c>
      <c r="K221" s="37" t="s">
        <v>1243</v>
      </c>
      <c r="L221" s="50"/>
      <c r="M221" s="110" t="s">
        <v>5</v>
      </c>
      <c r="N221" s="25">
        <v>223</v>
      </c>
      <c r="O221" s="25"/>
      <c r="P221" s="25"/>
      <c r="Q221" s="25"/>
      <c r="R221" s="25"/>
      <c r="S221" s="25"/>
      <c r="T221" s="27">
        <v>26.642749999999999</v>
      </c>
      <c r="U221" s="25">
        <v>249.64275000000001</v>
      </c>
      <c r="V221" s="30">
        <v>20.494423076923077</v>
      </c>
      <c r="W221" s="30">
        <v>171.53846153846155</v>
      </c>
      <c r="X221" s="31"/>
      <c r="Y221" s="31"/>
      <c r="Z221" s="31"/>
      <c r="AA221" s="31"/>
      <c r="AB221" s="31"/>
      <c r="AC221" s="31"/>
      <c r="AD221" s="31"/>
      <c r="AE221" s="32"/>
      <c r="AF221" s="16"/>
      <c r="AG221" s="3"/>
      <c r="AH221" s="4"/>
      <c r="AI221" s="12">
        <v>1300</v>
      </c>
      <c r="AJ221" s="38">
        <v>100</v>
      </c>
      <c r="AK221" s="3"/>
      <c r="AL221" s="1" t="s">
        <v>421</v>
      </c>
      <c r="AM221" s="37"/>
      <c r="AN221" s="37"/>
      <c r="AO221" s="37"/>
      <c r="AP221" s="37"/>
      <c r="AQ221" s="37"/>
      <c r="AR221" s="37"/>
      <c r="AS221" s="37"/>
      <c r="AT221" s="37"/>
      <c r="AU221" s="37"/>
      <c r="AV221" s="37"/>
      <c r="AW221" s="37"/>
      <c r="AX221" s="37"/>
      <c r="AY221" s="37"/>
      <c r="AZ221" s="37"/>
      <c r="BA221" s="37"/>
      <c r="BB221" s="37"/>
      <c r="BC221" s="37">
        <v>4.3</v>
      </c>
      <c r="BD221" s="37">
        <v>5.0999999999999996</v>
      </c>
      <c r="BE221" s="37">
        <v>5.2</v>
      </c>
      <c r="BF221" s="37">
        <v>5.22</v>
      </c>
      <c r="BG221" s="42">
        <v>117</v>
      </c>
      <c r="BH221" s="42"/>
      <c r="BI221" s="43"/>
      <c r="BJ221" s="43"/>
      <c r="BK221" s="107">
        <v>51.1</v>
      </c>
      <c r="BL221" s="107">
        <v>4.8</v>
      </c>
      <c r="BM221" s="107">
        <f>+BK221+BL221</f>
        <v>55.9</v>
      </c>
      <c r="BN221" s="108">
        <f>+BK221*1000/BQ221</f>
        <v>225.11013215859032</v>
      </c>
      <c r="BO221" s="108">
        <f>+BL221*1000/BQ221</f>
        <v>21.145374449339208</v>
      </c>
      <c r="BP221" s="109">
        <f>+BO221+BN221</f>
        <v>246.25550660792953</v>
      </c>
      <c r="BQ221" s="106">
        <v>227</v>
      </c>
      <c r="BR221" s="110" t="s">
        <v>1416</v>
      </c>
      <c r="BS221" s="110">
        <v>1976</v>
      </c>
      <c r="BT221" s="110" t="s">
        <v>872</v>
      </c>
      <c r="BU221" s="4"/>
      <c r="BV221" s="4" t="s">
        <v>995</v>
      </c>
      <c r="BW221" s="4"/>
      <c r="BX221" s="4"/>
      <c r="BY221" s="106">
        <v>2510</v>
      </c>
      <c r="BZ221" s="106">
        <v>610</v>
      </c>
      <c r="CA221" s="116" t="s">
        <v>1429</v>
      </c>
      <c r="CB221" s="4">
        <v>1</v>
      </c>
      <c r="CC221" s="4">
        <v>0</v>
      </c>
      <c r="CD221" s="4">
        <v>0</v>
      </c>
      <c r="CE221" s="4">
        <v>0</v>
      </c>
      <c r="CF221" s="4">
        <v>1</v>
      </c>
      <c r="CG221" s="4">
        <v>1</v>
      </c>
      <c r="CH221" s="4">
        <v>1</v>
      </c>
      <c r="CI221" s="106">
        <f>+BQ221*(CB221*faktorji!$B$21+'MOL_tabela rezultatov'!CF306*faktorji!$B$23+'MOL_tabela rezultatov'!CH306*faktorji!$B$26)+faktorji!$B$27*CG221</f>
        <v>25150.5</v>
      </c>
      <c r="CJ221" s="106">
        <f>+(BZ221*CF221*faktorji!$B$18)+(CG221*faktorji!$B$17*('MOL_tabela rezultatov'!BY306+'MOL_tabela rezultatov'!BZ306))+('MOL_tabela rezultatov'!CH306*faktorji!$B$16*'MOL_tabela rezultatov'!BY306)+('MOL_tabela rezultatov'!CB306*faktorji!$B$12*'MOL_tabela rezultatov'!BY306)</f>
        <v>713.8</v>
      </c>
      <c r="CK221" s="115">
        <f>+CI221/CJ221</f>
        <v>35.234659568506586</v>
      </c>
      <c r="CL221" s="3" t="str">
        <f>CONCATENATE(IF(CB221&gt;0,"kotlovnica/toplotna postaja, ",""),IF(CF221&gt;0,"razsvetljava, ",""),IF(CG221&gt;0,"energetsko upravljanje, ",""),IF(CH221&gt;0,"manjši investicijski in organizacijski ukrepi, ",""))</f>
        <v xml:space="preserve">kotlovnica/toplotna postaja, razsvetljava, energetsko upravljanje, manjši investicijski in organizacijski ukrepi, </v>
      </c>
      <c r="CM221" s="9">
        <f>+CJ221*0.9</f>
        <v>642.41999999999996</v>
      </c>
      <c r="CN221" s="9">
        <f>+CJ221*0.9</f>
        <v>642.41999999999996</v>
      </c>
      <c r="CO221" s="9">
        <f>+CJ221*0.9</f>
        <v>642.41999999999996</v>
      </c>
      <c r="CP221" s="69">
        <f>+IF(CI221-SUM(CM221:CO221)&lt;0,0,CI221-SUM(CM221:CO221))</f>
        <v>23223.24</v>
      </c>
      <c r="CQ221" s="9">
        <f>+(BQ221*CE221*faktorji!$B$24)+(BQ221^0.5*CC221*4*4*0.66*faktorji!$B$22)+(BQ221^0.5*CD221*4*4*0.33*faktorji!$B$25)</f>
        <v>0</v>
      </c>
      <c r="CR221" s="3" t="str">
        <f t="shared" si="161"/>
        <v/>
      </c>
      <c r="CS221" s="9">
        <f>+BQ221*('MOL_tabela rezultatov'!CH221*faktorji!$B$26)+faktorji!$B$27*CG221</f>
        <v>18340.5</v>
      </c>
      <c r="CT221" s="3" t="str">
        <f t="shared" si="159"/>
        <v xml:space="preserve">energetsko upravljanje, manjši investicijski in organizacijski ukrepi, </v>
      </c>
      <c r="CU221" s="9">
        <f t="shared" si="190"/>
        <v>4585.125</v>
      </c>
      <c r="CV221" s="9">
        <f t="shared" ref="CV221:CX221" si="199">+CU221</f>
        <v>4585.125</v>
      </c>
      <c r="CW221" s="9">
        <f t="shared" si="199"/>
        <v>4585.125</v>
      </c>
      <c r="CX221" s="69">
        <f t="shared" si="199"/>
        <v>4585.125</v>
      </c>
    </row>
    <row r="222" spans="1:102" s="10" customFormat="1" ht="18" hidden="1" customHeight="1">
      <c r="A222" s="53" t="s">
        <v>725</v>
      </c>
      <c r="B222" s="2" t="s">
        <v>726</v>
      </c>
      <c r="C222" s="57"/>
      <c r="D222" s="57"/>
      <c r="E222" s="51" t="s">
        <v>1176</v>
      </c>
      <c r="F222" s="51"/>
      <c r="G222" s="51">
        <v>2</v>
      </c>
      <c r="H222" s="51"/>
      <c r="I222" s="51"/>
      <c r="J222" s="51">
        <v>2</v>
      </c>
      <c r="K222" s="37" t="s">
        <v>1243</v>
      </c>
      <c r="L222" s="50"/>
      <c r="M222" s="4" t="s">
        <v>5</v>
      </c>
      <c r="N222" s="25">
        <v>24.42</v>
      </c>
      <c r="O222" s="25"/>
      <c r="P222" s="25"/>
      <c r="Q222" s="25"/>
      <c r="R222" s="25"/>
      <c r="S222" s="25"/>
      <c r="T222" s="25">
        <v>8.4</v>
      </c>
      <c r="U222" s="25">
        <v>32.82</v>
      </c>
      <c r="V222" s="30">
        <v>28</v>
      </c>
      <c r="W222" s="30">
        <v>81.400000000000006</v>
      </c>
      <c r="X222" s="31"/>
      <c r="Y222" s="31"/>
      <c r="Z222" s="31"/>
      <c r="AA222" s="31"/>
      <c r="AB222" s="31"/>
      <c r="AC222" s="31"/>
      <c r="AD222" s="31"/>
      <c r="AE222" s="32"/>
      <c r="AF222" s="16" t="s">
        <v>689</v>
      </c>
      <c r="AG222" s="3"/>
      <c r="AH222" s="4"/>
      <c r="AI222" s="6">
        <v>300</v>
      </c>
      <c r="AJ222" s="38">
        <v>100</v>
      </c>
      <c r="AK222" s="3"/>
      <c r="AL222" s="1" t="s">
        <v>421</v>
      </c>
      <c r="AM222" s="37">
        <f>60.38+36.7</f>
        <v>97.080000000000013</v>
      </c>
      <c r="AN222" s="37">
        <f>62.53+37.1</f>
        <v>99.63</v>
      </c>
      <c r="AO222" s="37">
        <f>51.23+36.6</f>
        <v>87.83</v>
      </c>
      <c r="AP222" s="37">
        <f>42.07+36.9</f>
        <v>78.97</v>
      </c>
      <c r="AQ222" s="37"/>
      <c r="AR222" s="37"/>
      <c r="AS222" s="37"/>
      <c r="AT222" s="37"/>
      <c r="AU222" s="37"/>
      <c r="AV222" s="37"/>
      <c r="AW222" s="37"/>
      <c r="AX222" s="37"/>
      <c r="AY222" s="37"/>
      <c r="AZ222" s="37"/>
      <c r="BA222" s="37"/>
      <c r="BB222" s="37"/>
      <c r="BC222" s="37">
        <v>8.8000000000000007</v>
      </c>
      <c r="BD222" s="37">
        <v>10.1</v>
      </c>
      <c r="BE222" s="37">
        <v>7.9</v>
      </c>
      <c r="BF222" s="37">
        <v>9.1999999999999993</v>
      </c>
      <c r="BG222" s="42">
        <v>90.877499999999998</v>
      </c>
      <c r="BH222" s="42"/>
      <c r="BI222" s="42"/>
      <c r="BJ222" s="42"/>
      <c r="BK222" s="44">
        <v>90.877499999999998</v>
      </c>
      <c r="BL222" s="44">
        <v>9</v>
      </c>
      <c r="BM222" s="44">
        <f>+BK222+BL222</f>
        <v>99.877499999999998</v>
      </c>
      <c r="BN222" s="47">
        <v>302.92500000000001</v>
      </c>
      <c r="BO222" s="47">
        <v>30</v>
      </c>
      <c r="BP222" s="45">
        <v>332.92500000000001</v>
      </c>
      <c r="BQ222" s="9">
        <v>300</v>
      </c>
      <c r="BR222" s="4"/>
      <c r="BS222" s="4"/>
      <c r="BT222" s="4" t="s">
        <v>872</v>
      </c>
      <c r="BU222" s="4"/>
      <c r="BV222" s="4" t="s">
        <v>871</v>
      </c>
      <c r="BW222" s="4"/>
      <c r="BX222" s="4" t="s">
        <v>937</v>
      </c>
      <c r="BY222" s="9">
        <f>+INT(BK222*faktorji!$B$3)</f>
        <v>5907</v>
      </c>
      <c r="BZ222" s="9">
        <f>+INT(BL222*faktorji!$B$4)</f>
        <v>1485</v>
      </c>
      <c r="CA222" s="3" t="s">
        <v>1310</v>
      </c>
      <c r="CB222" s="4">
        <v>0.1</v>
      </c>
      <c r="CC222" s="4">
        <v>1</v>
      </c>
      <c r="CD222" s="4">
        <v>0</v>
      </c>
      <c r="CE222" s="4">
        <v>0</v>
      </c>
      <c r="CF222" s="4">
        <v>1</v>
      </c>
      <c r="CG222" s="4">
        <v>1</v>
      </c>
      <c r="CH222" s="4">
        <v>1</v>
      </c>
      <c r="CI222" s="9">
        <f>+BQ222*(CB222*faktorji!$B$21+'MOL_tabela rezultatov'!CF265*faktorji!$B$23+'MOL_tabela rezultatov'!CH265*faktorji!$B$26)+faktorji!$B$27*CG222</f>
        <v>23400</v>
      </c>
      <c r="CJ222" s="9">
        <f>+(BZ222*CF222*faktorji!$B$18)+(CG222*faktorji!$B$17*('MOL_tabela rezultatov'!BY265+'MOL_tabela rezultatov'!BZ265))+('MOL_tabela rezultatov'!CH265*faktorji!$B$16*'MOL_tabela rezultatov'!BY265)+('MOL_tabela rezultatov'!CB265*faktorji!$B$12*'MOL_tabela rezultatov'!BY265)</f>
        <v>2372.3500000000004</v>
      </c>
      <c r="CK222" s="66">
        <f>+CI222/CJ222</f>
        <v>9.863637321643095</v>
      </c>
      <c r="CL222" s="3" t="str">
        <f>CONCATENATE(IF(CB222&gt;0,"kotlovnica/toplotna postaja, ",""),IF(CF222&gt;0,"razsvetljava, ",""),IF(CG222&gt;0,"energetsko upravljanje, ",""),IF(CH222&gt;0,"manjši investicijski in organizacijski ukrepi, ",""))</f>
        <v xml:space="preserve">kotlovnica/toplotna postaja, razsvetljava, energetsko upravljanje, manjši investicijski in organizacijski ukrepi, </v>
      </c>
      <c r="CM222" s="9">
        <f>+CJ222*0.9</f>
        <v>2135.1150000000002</v>
      </c>
      <c r="CN222" s="9">
        <f>+CJ222*0.9</f>
        <v>2135.1150000000002</v>
      </c>
      <c r="CO222" s="9">
        <f>+CJ222*0.9</f>
        <v>2135.1150000000002</v>
      </c>
      <c r="CP222" s="69">
        <f>+IF(CI222-SUM(CM222:CO222)&lt;0,0,CI222-SUM(CM222:CO222))</f>
        <v>16994.654999999999</v>
      </c>
      <c r="CQ222" s="9">
        <f>+(BQ222*CE222*faktorji!$B$24)+(BQ222^0.5*CC222*4*4*0.66*faktorji!$B$22)+(BQ222^0.5*CD222*4*4*0.33*faktorji!$B$25)</f>
        <v>12803.319569549143</v>
      </c>
      <c r="CR222" s="3" t="str">
        <f t="shared" si="161"/>
        <v xml:space="preserve">izolacija ovoja, </v>
      </c>
      <c r="CS222" s="9">
        <f>+BQ222*('MOL_tabela rezultatov'!CH222*faktorji!$B$26)+faktorji!$B$27*CG222</f>
        <v>18450</v>
      </c>
      <c r="CT222" s="3" t="str">
        <f t="shared" si="159"/>
        <v xml:space="preserve">energetsko upravljanje, manjši investicijski in organizacijski ukrepi, </v>
      </c>
      <c r="CU222" s="9">
        <f t="shared" si="190"/>
        <v>4612.5</v>
      </c>
      <c r="CV222" s="9">
        <f t="shared" ref="CV222:CX222" si="200">+CU222</f>
        <v>4612.5</v>
      </c>
      <c r="CW222" s="9">
        <f t="shared" si="200"/>
        <v>4612.5</v>
      </c>
      <c r="CX222" s="69">
        <f t="shared" si="200"/>
        <v>4612.5</v>
      </c>
    </row>
    <row r="223" spans="1:102" s="10" customFormat="1" ht="18" hidden="1" customHeight="1">
      <c r="A223" s="54" t="s">
        <v>1443</v>
      </c>
      <c r="B223" s="3" t="s">
        <v>137</v>
      </c>
      <c r="C223" s="56"/>
      <c r="D223" s="56"/>
      <c r="E223" s="51" t="s">
        <v>1444</v>
      </c>
      <c r="F223" s="51"/>
      <c r="G223" s="51">
        <v>4</v>
      </c>
      <c r="H223" s="51"/>
      <c r="I223" s="51"/>
      <c r="J223" s="51">
        <v>7</v>
      </c>
      <c r="K223" s="37" t="s">
        <v>1242</v>
      </c>
      <c r="L223" s="50"/>
      <c r="M223" s="4" t="s">
        <v>5</v>
      </c>
      <c r="N223" s="25">
        <v>30.221350877192986</v>
      </c>
      <c r="O223" s="25"/>
      <c r="P223" s="25"/>
      <c r="Q223" s="25"/>
      <c r="R223" s="25"/>
      <c r="S223" s="25"/>
      <c r="T223" s="25">
        <v>11.917350877192982</v>
      </c>
      <c r="U223" s="25">
        <v>42.13870175438597</v>
      </c>
      <c r="V223" s="30">
        <v>45.835964912280701</v>
      </c>
      <c r="W223" s="30">
        <v>116.23596491228071</v>
      </c>
      <c r="X223" s="31"/>
      <c r="Y223" s="31"/>
      <c r="Z223" s="31"/>
      <c r="AA223" s="31"/>
      <c r="AB223" s="31"/>
      <c r="AC223" s="31"/>
      <c r="AD223" s="31"/>
      <c r="AE223" s="32"/>
      <c r="AF223" s="1"/>
      <c r="AG223" s="4"/>
      <c r="AH223" s="4"/>
      <c r="AI223" s="6">
        <v>260</v>
      </c>
      <c r="AJ223" s="38"/>
      <c r="AK223" s="34"/>
      <c r="AL223" s="1"/>
      <c r="AM223" s="37"/>
      <c r="AN223" s="37"/>
      <c r="AO223" s="37"/>
      <c r="AP223" s="37"/>
      <c r="AQ223" s="37"/>
      <c r="AR223" s="37"/>
      <c r="AS223" s="37"/>
      <c r="AT223" s="37"/>
      <c r="AU223" s="37"/>
      <c r="AV223" s="37"/>
      <c r="AW223" s="37"/>
      <c r="AX223" s="37"/>
      <c r="AY223" s="37"/>
      <c r="AZ223" s="37"/>
      <c r="BA223" s="37"/>
      <c r="BB223" s="37"/>
      <c r="BC223" s="37"/>
      <c r="BD223" s="37"/>
      <c r="BE223" s="37"/>
      <c r="BF223" s="37"/>
      <c r="BG223" s="42">
        <v>34.32</v>
      </c>
      <c r="BH223" s="42"/>
      <c r="BI223" s="42"/>
      <c r="BJ223" s="42"/>
      <c r="BK223" s="44">
        <v>34.32</v>
      </c>
      <c r="BL223" s="44">
        <v>31.143999999999995</v>
      </c>
      <c r="BM223" s="44">
        <f>+BK223+BL223</f>
        <v>65.463999999999999</v>
      </c>
      <c r="BN223" s="47">
        <v>100.94117647058823</v>
      </c>
      <c r="BO223" s="47">
        <v>91.6</v>
      </c>
      <c r="BP223" s="45">
        <v>192.54117647058823</v>
      </c>
      <c r="BQ223" s="9">
        <v>340</v>
      </c>
      <c r="BR223" s="4"/>
      <c r="BS223" s="4"/>
      <c r="BT223" s="4" t="s">
        <v>872</v>
      </c>
      <c r="BU223" s="4"/>
      <c r="BV223" s="4"/>
      <c r="BW223" s="4"/>
      <c r="BX223" s="4"/>
      <c r="BY223" s="9">
        <f>+INT(BK223*faktorji!$B$3)</f>
        <v>2230</v>
      </c>
      <c r="BZ223" s="9">
        <f>+INT(BL223*faktorji!$B$4)</f>
        <v>5138</v>
      </c>
      <c r="CA223" s="4"/>
      <c r="CB223" s="4">
        <v>0</v>
      </c>
      <c r="CC223" s="4">
        <v>0</v>
      </c>
      <c r="CD223" s="4">
        <v>0</v>
      </c>
      <c r="CE223" s="4">
        <v>0</v>
      </c>
      <c r="CF223" s="4">
        <v>1</v>
      </c>
      <c r="CG223" s="4">
        <v>1</v>
      </c>
      <c r="CH223" s="4">
        <v>1</v>
      </c>
      <c r="CI223" s="9">
        <f>+BQ223*(CB223*faktorji!$B$21+'MOL_tabela rezultatov'!CF47*faktorji!$B$23+'MOL_tabela rezultatov'!CH47*faktorji!$B$26)+faktorji!$B$27*CG223</f>
        <v>23610</v>
      </c>
      <c r="CJ223" s="9">
        <f>+(BZ223*CF223*faktorji!$B$18)+(CG223*faktorji!$B$17*('MOL_tabela rezultatov'!BY47+'MOL_tabela rezultatov'!BZ47))+('MOL_tabela rezultatov'!CH47*faktorji!$B$16*'MOL_tabela rezultatov'!BY47)+('MOL_tabela rezultatov'!CB47*faktorji!$B$12*'MOL_tabela rezultatov'!BY47)</f>
        <v>1929.3000000000002</v>
      </c>
      <c r="CK223" s="66">
        <f>+CI223/CJ223</f>
        <v>12.23759912921785</v>
      </c>
      <c r="CL223" s="3" t="str">
        <f>CONCATENATE(IF(CB223&gt;0,"kotlovnica/toplotna postaja, ",""),IF(CF223&gt;0,"razsvetljava, ",""),IF(CG223&gt;0,"energetsko upravljanje, ",""),IF(CH223&gt;0,"manjši investicijski in organizacijski ukrepi, ",""))</f>
        <v xml:space="preserve">razsvetljava, energetsko upravljanje, manjši investicijski in organizacijski ukrepi, </v>
      </c>
      <c r="CM223" s="9">
        <f>+CJ223*0.9</f>
        <v>1736.3700000000001</v>
      </c>
      <c r="CN223" s="9">
        <f>+CJ223*0.9</f>
        <v>1736.3700000000001</v>
      </c>
      <c r="CO223" s="9">
        <f>+CJ223*0.9</f>
        <v>1736.3700000000001</v>
      </c>
      <c r="CP223" s="69">
        <f>+IF(CI223-SUM(CM223:CO223)&lt;0,0,CI223-SUM(CM223:CO223))</f>
        <v>18400.89</v>
      </c>
      <c r="CQ223" s="9">
        <f>+(BQ223*CE223*faktorji!$B$24)+(BQ223^0.5*CC223*4*4*0.66*faktorji!$B$22)+(BQ223^0.5*CD223*4*4*0.33*faktorji!$B$25)</f>
        <v>0</v>
      </c>
      <c r="CR223" s="3" t="str">
        <f t="shared" si="161"/>
        <v/>
      </c>
      <c r="CS223" s="9">
        <f>+BQ223*('MOL_tabela rezultatov'!CH223*faktorji!$B$26)+faktorji!$B$27*CG223</f>
        <v>18510</v>
      </c>
      <c r="CT223" s="3" t="str">
        <f t="shared" si="159"/>
        <v xml:space="preserve">energetsko upravljanje, manjši investicijski in organizacijski ukrepi, </v>
      </c>
      <c r="CU223" s="9">
        <f t="shared" si="190"/>
        <v>4627.5</v>
      </c>
      <c r="CV223" s="9">
        <f t="shared" ref="CV223:CX223" si="201">+CU223</f>
        <v>4627.5</v>
      </c>
      <c r="CW223" s="9">
        <f t="shared" si="201"/>
        <v>4627.5</v>
      </c>
      <c r="CX223" s="69">
        <f t="shared" si="201"/>
        <v>4627.5</v>
      </c>
    </row>
    <row r="224" spans="1:102" s="10" customFormat="1" ht="18" hidden="1" customHeight="1">
      <c r="A224" s="54" t="s">
        <v>36</v>
      </c>
      <c r="B224" s="3" t="s">
        <v>37</v>
      </c>
      <c r="C224" s="56"/>
      <c r="D224" s="56"/>
      <c r="E224" s="51" t="s">
        <v>1168</v>
      </c>
      <c r="F224" s="51" t="s">
        <v>1255</v>
      </c>
      <c r="G224" s="51">
        <v>2</v>
      </c>
      <c r="H224" s="51"/>
      <c r="I224" s="51"/>
      <c r="J224" s="51">
        <v>4</v>
      </c>
      <c r="K224" s="37" t="s">
        <v>1243</v>
      </c>
      <c r="L224" s="50"/>
      <c r="M224" s="4" t="s">
        <v>5</v>
      </c>
      <c r="N224" s="25">
        <v>27.69</v>
      </c>
      <c r="O224" s="25"/>
      <c r="P224" s="25"/>
      <c r="Q224" s="25"/>
      <c r="R224" s="25"/>
      <c r="S224" s="25"/>
      <c r="T224" s="25">
        <v>12.38</v>
      </c>
      <c r="U224" s="25">
        <v>40.07</v>
      </c>
      <c r="V224" s="30">
        <v>49.52</v>
      </c>
      <c r="W224" s="30">
        <v>110.76</v>
      </c>
      <c r="X224" s="31"/>
      <c r="Y224" s="31"/>
      <c r="Z224" s="31"/>
      <c r="AA224" s="31"/>
      <c r="AB224" s="31"/>
      <c r="AC224" s="31"/>
      <c r="AD224" s="31"/>
      <c r="AE224" s="32">
        <v>0</v>
      </c>
      <c r="AF224" s="1"/>
      <c r="AG224" s="4"/>
      <c r="AH224" s="4" t="s">
        <v>38</v>
      </c>
      <c r="AI224" s="6">
        <v>250</v>
      </c>
      <c r="AJ224" s="38">
        <v>100</v>
      </c>
      <c r="AK224" s="3" t="s">
        <v>39</v>
      </c>
      <c r="AL224" s="1" t="s">
        <v>26</v>
      </c>
      <c r="AM224" s="37">
        <f>AM250*0.09</f>
        <v>0</v>
      </c>
      <c r="AN224" s="37">
        <f>AN250*0.09</f>
        <v>0</v>
      </c>
      <c r="AO224" s="37">
        <f>AO250*0.09</f>
        <v>0</v>
      </c>
      <c r="AP224" s="37">
        <f>AP250*0.09</f>
        <v>0</v>
      </c>
      <c r="AQ224" s="37"/>
      <c r="AR224" s="37"/>
      <c r="AS224" s="37"/>
      <c r="AT224" s="37"/>
      <c r="AU224" s="37"/>
      <c r="AV224" s="37"/>
      <c r="AW224" s="37"/>
      <c r="AX224" s="37"/>
      <c r="AY224" s="37"/>
      <c r="AZ224" s="37"/>
      <c r="BA224" s="37"/>
      <c r="BB224" s="37"/>
      <c r="BC224" s="37">
        <v>10.7164</v>
      </c>
      <c r="BD224" s="37">
        <v>10.548499999999999</v>
      </c>
      <c r="BE224" s="37">
        <v>10.8843</v>
      </c>
      <c r="BF224" s="37">
        <v>4.1244999999999994</v>
      </c>
      <c r="BG224" s="42">
        <v>24.043500000000002</v>
      </c>
      <c r="BH224" s="42"/>
      <c r="BI224" s="42"/>
      <c r="BJ224" s="42"/>
      <c r="BK224" s="44">
        <v>24.043500000000002</v>
      </c>
      <c r="BL224" s="44">
        <v>9.0684249999999977</v>
      </c>
      <c r="BM224" s="44">
        <f>+BK224+BL224</f>
        <v>33.111924999999999</v>
      </c>
      <c r="BN224" s="47">
        <v>104.53695652173913</v>
      </c>
      <c r="BO224" s="47">
        <v>39.427934782608688</v>
      </c>
      <c r="BP224" s="45">
        <v>143.96489130434784</v>
      </c>
      <c r="BQ224" s="9">
        <v>230</v>
      </c>
      <c r="BR224" s="4"/>
      <c r="BS224" s="4"/>
      <c r="BT224" s="4"/>
      <c r="BU224" s="4"/>
      <c r="BV224" s="4"/>
      <c r="BW224" s="4"/>
      <c r="BX224" s="4"/>
      <c r="BY224" s="9">
        <f>+INT(BK224*faktorji!$B$3)</f>
        <v>1562</v>
      </c>
      <c r="BZ224" s="9">
        <f>+INT(BL224*faktorji!$B$4)</f>
        <v>1496</v>
      </c>
      <c r="CA224" s="3" t="s">
        <v>1313</v>
      </c>
      <c r="CB224" s="4">
        <v>0</v>
      </c>
      <c r="CC224" s="4">
        <v>0</v>
      </c>
      <c r="CD224" s="4">
        <v>0</v>
      </c>
      <c r="CE224" s="4">
        <v>0</v>
      </c>
      <c r="CF224" s="4">
        <v>0</v>
      </c>
      <c r="CG224" s="4">
        <v>1</v>
      </c>
      <c r="CH224" s="4">
        <v>1</v>
      </c>
      <c r="CI224" s="9">
        <f>+BQ224*(CB224*faktorji!$B$21+'MOL_tabela rezultatov'!CF10*faktorji!$B$23+'MOL_tabela rezultatov'!CH10*faktorji!$B$26)+faktorji!$B$27*CG224</f>
        <v>18345</v>
      </c>
      <c r="CJ224" s="9">
        <f>+(BZ224*CF224*faktorji!$B$18)+(CG224*faktorji!$B$17*('MOL_tabela rezultatov'!BY10+'MOL_tabela rezultatov'!BZ10))+('MOL_tabela rezultatov'!CH10*faktorji!$B$16*'MOL_tabela rezultatov'!BY10)+('MOL_tabela rezultatov'!CB10*faktorji!$B$12*'MOL_tabela rezultatov'!BY10)</f>
        <v>68200</v>
      </c>
      <c r="CK224" s="66">
        <f>+CI224/CJ224</f>
        <v>0.2689882697947214</v>
      </c>
      <c r="CL224" s="3" t="str">
        <f>CONCATENATE(IF(CB224&gt;0,"kotlovnica/toplotna postaja, ",""),IF(CF224&gt;0,"razsvetljava, ",""),IF(CG224&gt;0,"energetsko upravljanje, ",""),IF(CH224&gt;0,"manjši investicijski in organizacijski ukrepi, ",""))</f>
        <v xml:space="preserve">energetsko upravljanje, manjši investicijski in organizacijski ukrepi, </v>
      </c>
      <c r="CM224" s="9">
        <f>+CJ224*0.9</f>
        <v>61380</v>
      </c>
      <c r="CN224" s="9">
        <f>+CJ224*0.9</f>
        <v>61380</v>
      </c>
      <c r="CO224" s="9">
        <f>+CJ224*0.9</f>
        <v>61380</v>
      </c>
      <c r="CP224" s="69">
        <f>+IF(CI224-SUM(CM224:CO224)&lt;0,0,CI224-SUM(CM224:CO224))</f>
        <v>0</v>
      </c>
      <c r="CQ224" s="9">
        <f>+(BQ224*CE224*faktorji!$B$24)+(BQ224^0.5*CC224*4*4*0.66*faktorji!$B$22)+(BQ224^0.5*CD224*4*4*0.33*faktorji!$B$25)</f>
        <v>0</v>
      </c>
      <c r="CR224" s="3" t="str">
        <f t="shared" si="161"/>
        <v/>
      </c>
      <c r="CS224" s="9">
        <f>+BQ224*('MOL_tabela rezultatov'!CH224*faktorji!$B$26)+faktorji!$B$27*CG224</f>
        <v>18345</v>
      </c>
      <c r="CT224" s="3" t="str">
        <f t="shared" si="159"/>
        <v xml:space="preserve">energetsko upravljanje, manjši investicijski in organizacijski ukrepi, </v>
      </c>
      <c r="CU224" s="9">
        <f t="shared" si="190"/>
        <v>4586.25</v>
      </c>
      <c r="CV224" s="9">
        <f t="shared" ref="CV224:CX224" si="202">+CU224</f>
        <v>4586.25</v>
      </c>
      <c r="CW224" s="9">
        <f t="shared" si="202"/>
        <v>4586.25</v>
      </c>
      <c r="CX224" s="69">
        <f t="shared" si="202"/>
        <v>4586.25</v>
      </c>
    </row>
    <row r="225" spans="1:102" s="10" customFormat="1" ht="18" hidden="1" customHeight="1">
      <c r="A225" s="53" t="s">
        <v>1390</v>
      </c>
      <c r="B225" s="3" t="s">
        <v>107</v>
      </c>
      <c r="C225" s="56" t="s">
        <v>1377</v>
      </c>
      <c r="D225" s="56" t="s">
        <v>1378</v>
      </c>
      <c r="E225" s="51" t="s">
        <v>1167</v>
      </c>
      <c r="F225" s="51"/>
      <c r="G225" s="51">
        <v>3</v>
      </c>
      <c r="H225" s="51"/>
      <c r="I225" s="51"/>
      <c r="J225" s="51">
        <v>7</v>
      </c>
      <c r="K225" s="37" t="s">
        <v>1243</v>
      </c>
      <c r="L225" s="50"/>
      <c r="M225" s="4" t="s">
        <v>5</v>
      </c>
      <c r="N225" s="25">
        <v>277.8</v>
      </c>
      <c r="O225" s="25"/>
      <c r="P225" s="25"/>
      <c r="Q225" s="25"/>
      <c r="R225" s="25"/>
      <c r="S225" s="25"/>
      <c r="T225" s="25">
        <v>158.9</v>
      </c>
      <c r="U225" s="25">
        <v>436.70000000000005</v>
      </c>
      <c r="V225" s="30">
        <v>63.35725677830942</v>
      </c>
      <c r="W225" s="30">
        <v>110.76555023923444</v>
      </c>
      <c r="X225" s="31">
        <v>271.5</v>
      </c>
      <c r="Y225" s="31"/>
      <c r="Z225" s="31"/>
      <c r="AA225" s="31"/>
      <c r="AB225" s="31"/>
      <c r="AC225" s="31">
        <v>157.30000000000001</v>
      </c>
      <c r="AD225" s="31"/>
      <c r="AE225" s="32">
        <v>108.2535885167464</v>
      </c>
      <c r="AF225" s="1">
        <v>480</v>
      </c>
      <c r="AG225" s="4"/>
      <c r="AH225" s="4" t="s">
        <v>108</v>
      </c>
      <c r="AI225" s="6">
        <v>2508</v>
      </c>
      <c r="AJ225" s="38">
        <v>90</v>
      </c>
      <c r="AK225" s="34" t="s">
        <v>92</v>
      </c>
      <c r="AL225" s="1" t="s">
        <v>95</v>
      </c>
      <c r="AM225" s="37">
        <f>298+19.1</f>
        <v>317.10000000000002</v>
      </c>
      <c r="AN225" s="37">
        <f>274+18.9</f>
        <v>292.89999999999998</v>
      </c>
      <c r="AO225" s="37">
        <f>232+16.5</f>
        <v>248.5</v>
      </c>
      <c r="AP225" s="37">
        <f>183+27.1</f>
        <v>210.1</v>
      </c>
      <c r="AQ225" s="37"/>
      <c r="AR225" s="37"/>
      <c r="AS225" s="37"/>
      <c r="AT225" s="37"/>
      <c r="AU225" s="37"/>
      <c r="AV225" s="37"/>
      <c r="AW225" s="37"/>
      <c r="AX225" s="37"/>
      <c r="AY225" s="37"/>
      <c r="AZ225" s="37"/>
      <c r="BA225" s="37"/>
      <c r="BB225" s="37"/>
      <c r="BC225" s="37">
        <v>146.80000000000001</v>
      </c>
      <c r="BD225" s="37">
        <v>144.5</v>
      </c>
      <c r="BE225" s="37">
        <v>149.1</v>
      </c>
      <c r="BF225" s="37">
        <v>56.5</v>
      </c>
      <c r="BG225" s="42">
        <v>267.14999999999998</v>
      </c>
      <c r="BH225" s="42"/>
      <c r="BI225" s="42"/>
      <c r="BJ225" s="42"/>
      <c r="BK225" s="44">
        <v>267.14999999999998</v>
      </c>
      <c r="BL225" s="44">
        <v>124.22499999999999</v>
      </c>
      <c r="BM225" s="44">
        <f>+BK225+BL225</f>
        <v>391.375</v>
      </c>
      <c r="BN225" s="47">
        <v>105.76009501187649</v>
      </c>
      <c r="BO225" s="47">
        <v>49.178543151227238</v>
      </c>
      <c r="BP225" s="45">
        <v>154.93863816310372</v>
      </c>
      <c r="BQ225" s="9">
        <v>2526</v>
      </c>
      <c r="BR225" s="4">
        <v>350</v>
      </c>
      <c r="BS225" s="4">
        <v>2012</v>
      </c>
      <c r="BT225" s="4" t="s">
        <v>1082</v>
      </c>
      <c r="BU225" s="1" t="s">
        <v>119</v>
      </c>
      <c r="BV225" s="4" t="s">
        <v>871</v>
      </c>
      <c r="BW225" s="4" t="s">
        <v>1056</v>
      </c>
      <c r="BX225" s="4"/>
      <c r="BY225" s="9">
        <f>+INT(BK225*faktorji!$B$3)</f>
        <v>17364</v>
      </c>
      <c r="BZ225" s="9">
        <f>+INT(BL225*faktorji!$B$4)</f>
        <v>20497</v>
      </c>
      <c r="CA225" s="4"/>
      <c r="CB225" s="4">
        <v>0</v>
      </c>
      <c r="CC225" s="4">
        <v>1</v>
      </c>
      <c r="CD225" s="4">
        <v>0</v>
      </c>
      <c r="CE225" s="4">
        <v>1</v>
      </c>
      <c r="CF225" s="4">
        <v>1</v>
      </c>
      <c r="CG225" s="4">
        <v>1</v>
      </c>
      <c r="CH225" s="4">
        <v>1</v>
      </c>
      <c r="CI225" s="9">
        <f>+BQ225*(CB225*faktorji!$B$21+'MOL_tabela rezultatov'!CF37*faktorji!$B$23+'MOL_tabela rezultatov'!CH37*faktorji!$B$26)+faktorji!$B$27*CG225</f>
        <v>59679</v>
      </c>
      <c r="CJ225" s="9">
        <f>+(BZ225*CF225*faktorji!$B$18)+(CG225*faktorji!$B$17*('MOL_tabela rezultatov'!BY37+'MOL_tabela rezultatov'!BZ37))+('MOL_tabela rezultatov'!CH37*faktorji!$B$16*'MOL_tabela rezultatov'!BY37)+('MOL_tabela rezultatov'!CB37*faktorji!$B$12*'MOL_tabela rezultatov'!BY37)</f>
        <v>8303.9499999999989</v>
      </c>
      <c r="CK225" s="66">
        <f>+CI225/CJ225</f>
        <v>7.186820729893606</v>
      </c>
      <c r="CL225" s="3" t="str">
        <f>CONCATENATE(IF(CB225&gt;0,"kotlovnica/toplotna postaja, ",""),IF(CF225&gt;0,"razsvetljava, ",""),IF(CG225&gt;0,"energetsko upravljanje, ",""),IF(CH225&gt;0,"manjši investicijski in organizacijski ukrepi, ",""))</f>
        <v xml:space="preserve">razsvetljava, energetsko upravljanje, manjši investicijski in organizacijski ukrepi, </v>
      </c>
      <c r="CM225" s="9">
        <f>+CJ225*0.9</f>
        <v>7473.5549999999994</v>
      </c>
      <c r="CN225" s="9">
        <f>+CJ225*0.9</f>
        <v>7473.5549999999994</v>
      </c>
      <c r="CO225" s="9">
        <f>+CJ225*0.9</f>
        <v>7473.5549999999994</v>
      </c>
      <c r="CP225" s="69">
        <f>+IF(CI225-SUM(CM225:CO225)&lt;0,0,CI225-SUM(CM225:CO225))</f>
        <v>37258.335000000006</v>
      </c>
      <c r="CQ225" s="9">
        <f>+(BQ225*CE225*faktorji!$B$24)+(BQ225^0.5*CC225*4*4*0.66*faktorji!$B$22)+(BQ225^0.5*CD225*4*4*0.33*faktorji!$B$25)</f>
        <v>87671.694882468015</v>
      </c>
      <c r="CR225" s="3" t="str">
        <f t="shared" si="161"/>
        <v xml:space="preserve">izolacija ovoja, izolacija podstrešja, </v>
      </c>
      <c r="CS225" s="9">
        <f>+BQ225*('MOL_tabela rezultatov'!CH225*faktorji!$B$26)+faktorji!$B$27*CG225</f>
        <v>21789</v>
      </c>
      <c r="CT225" s="3" t="str">
        <f t="shared" si="159"/>
        <v xml:space="preserve">energetsko upravljanje, manjši investicijski in organizacijski ukrepi, </v>
      </c>
      <c r="CU225" s="9">
        <f t="shared" si="190"/>
        <v>5447.25</v>
      </c>
      <c r="CV225" s="9">
        <f t="shared" ref="CV225:CX225" si="203">+CU225</f>
        <v>5447.25</v>
      </c>
      <c r="CW225" s="9">
        <f t="shared" si="203"/>
        <v>5447.25</v>
      </c>
      <c r="CX225" s="69">
        <f t="shared" si="203"/>
        <v>5447.25</v>
      </c>
    </row>
    <row r="226" spans="1:102" s="10" customFormat="1" ht="18" customHeight="1">
      <c r="A226" s="117" t="s">
        <v>842</v>
      </c>
      <c r="B226" s="146" t="s">
        <v>683</v>
      </c>
      <c r="C226" s="57"/>
      <c r="D226" s="57"/>
      <c r="E226" s="51" t="s">
        <v>1176</v>
      </c>
      <c r="F226" s="51"/>
      <c r="G226" s="51">
        <v>2</v>
      </c>
      <c r="H226" s="51" t="s">
        <v>1253</v>
      </c>
      <c r="I226" s="51"/>
      <c r="J226" s="51">
        <v>2</v>
      </c>
      <c r="K226" s="37" t="s">
        <v>1242</v>
      </c>
      <c r="L226" s="50"/>
      <c r="M226" s="4" t="s">
        <v>6</v>
      </c>
      <c r="N226" s="25"/>
      <c r="O226" s="25">
        <v>460.4</v>
      </c>
      <c r="P226" s="25"/>
      <c r="Q226" s="25"/>
      <c r="R226" s="25"/>
      <c r="S226" s="25"/>
      <c r="T226" s="25">
        <v>63.457000000000001</v>
      </c>
      <c r="U226" s="25">
        <v>523.85699999999997</v>
      </c>
      <c r="V226" s="30">
        <v>50.969477911646585</v>
      </c>
      <c r="W226" s="30">
        <v>369.79919678714862</v>
      </c>
      <c r="X226" s="31"/>
      <c r="Y226" s="31"/>
      <c r="Z226" s="31"/>
      <c r="AA226" s="31"/>
      <c r="AB226" s="31"/>
      <c r="AC226" s="31"/>
      <c r="AD226" s="31"/>
      <c r="AE226" s="32"/>
      <c r="AF226" s="16" t="s">
        <v>684</v>
      </c>
      <c r="AG226" s="3" t="s">
        <v>684</v>
      </c>
      <c r="AH226" s="4"/>
      <c r="AI226" s="6">
        <v>1245</v>
      </c>
      <c r="AJ226" s="38">
        <v>100</v>
      </c>
      <c r="AK226" s="3"/>
      <c r="AL226" s="1" t="s">
        <v>535</v>
      </c>
      <c r="AM226" s="37"/>
      <c r="AN226" s="37"/>
      <c r="AO226" s="37"/>
      <c r="AP226" s="37"/>
      <c r="AQ226" s="37"/>
      <c r="AR226" s="37"/>
      <c r="AS226" s="37"/>
      <c r="AT226" s="37"/>
      <c r="AU226" s="37"/>
      <c r="AV226" s="37"/>
      <c r="AW226" s="37"/>
      <c r="AX226" s="37"/>
      <c r="AY226" s="37"/>
      <c r="AZ226" s="37"/>
      <c r="BA226" s="37"/>
      <c r="BB226" s="37"/>
      <c r="BC226" s="37"/>
      <c r="BD226" s="37"/>
      <c r="BE226" s="37"/>
      <c r="BF226" s="37"/>
      <c r="BG226" s="42"/>
      <c r="BH226" s="42">
        <v>460.4</v>
      </c>
      <c r="BI226" s="42"/>
      <c r="BJ226" s="42"/>
      <c r="BK226" s="44">
        <v>460.4</v>
      </c>
      <c r="BL226" s="44">
        <v>63.46</v>
      </c>
      <c r="BM226" s="44">
        <f>+BK226+BL226</f>
        <v>523.86</v>
      </c>
      <c r="BN226" s="47">
        <v>369.79919678714862</v>
      </c>
      <c r="BO226" s="47">
        <v>50.971887550200805</v>
      </c>
      <c r="BP226" s="45">
        <v>420.77108433734941</v>
      </c>
      <c r="BQ226" s="9">
        <v>1245</v>
      </c>
      <c r="BR226" s="4" t="s">
        <v>907</v>
      </c>
      <c r="BS226" s="4">
        <v>1998</v>
      </c>
      <c r="BT226" s="4" t="s">
        <v>872</v>
      </c>
      <c r="BU226" s="4"/>
      <c r="BV226" s="4"/>
      <c r="BW226" s="4"/>
      <c r="BX226" s="4" t="s">
        <v>909</v>
      </c>
      <c r="BY226" s="9">
        <f>+INT(BK226*faktorji!$B$5)</f>
        <v>43738</v>
      </c>
      <c r="BZ226" s="9">
        <f>+INT(BL226*faktorji!$B$4)</f>
        <v>10470</v>
      </c>
      <c r="CA226" s="3" t="s">
        <v>1300</v>
      </c>
      <c r="CB226" s="4">
        <v>1</v>
      </c>
      <c r="CC226" s="4">
        <v>1</v>
      </c>
      <c r="CD226" s="4">
        <v>1</v>
      </c>
      <c r="CE226" s="4">
        <v>1</v>
      </c>
      <c r="CF226" s="4">
        <v>1</v>
      </c>
      <c r="CG226" s="4">
        <v>1</v>
      </c>
      <c r="CH226" s="4">
        <v>1</v>
      </c>
      <c r="CI226" s="9">
        <f>+BQ226*(CB226*faktorji!$B$21+'MOL_tabela rezultatov'!CF252*faktorji!$B$23+'MOL_tabela rezultatov'!CH252*faktorji!$B$26)+faktorji!$B$27*CG226</f>
        <v>38542.5</v>
      </c>
      <c r="CJ226" s="9">
        <f>+(BZ226*CF226*faktorji!$B$18)+(CG226*faktorji!$B$17*('MOL_tabela rezultatov'!BY252+'MOL_tabela rezultatov'!BZ252))+('MOL_tabela rezultatov'!CH252*faktorji!$B$16*'MOL_tabela rezultatov'!BY252)+('MOL_tabela rezultatov'!CB252*faktorji!$B$12*'MOL_tabela rezultatov'!BY252)</f>
        <v>2524.4</v>
      </c>
      <c r="CK226" s="66">
        <f>+CI226/CJ226</f>
        <v>15.267984471557597</v>
      </c>
      <c r="CL226" s="3" t="str">
        <f>CONCATENATE(IF(CB226&gt;0,"kotlovnica/toplotna postaja, ",""),IF(CF226&gt;0,"razsvetljava, ",""),IF(CG226&gt;0,"energetsko upravljanje, ",""),IF(CH226&gt;0,"manjši investicijski in organizacijski ukrepi, ",""))</f>
        <v xml:space="preserve">kotlovnica/toplotna postaja, razsvetljava, energetsko upravljanje, manjši investicijski in organizacijski ukrepi, </v>
      </c>
      <c r="CM226" s="9">
        <f>+CJ226*0.9</f>
        <v>2271.96</v>
      </c>
      <c r="CN226" s="9">
        <f>+CJ226*0.9</f>
        <v>2271.96</v>
      </c>
      <c r="CO226" s="9">
        <f>+CJ226*0.9</f>
        <v>2271.96</v>
      </c>
      <c r="CP226" s="69">
        <f>+IF(CI226-SUM(CM226:CO226)&lt;0,0,CI226-SUM(CM226:CO226))</f>
        <v>31726.62</v>
      </c>
      <c r="CQ226" s="9">
        <f>+(BQ226*CE226*faktorji!$B$24)+(BQ226^0.5*CC226*4*4*0.66*faktorji!$B$22)+(BQ226^0.5*CD226*4*4*0.33*faktorji!$B$25)</f>
        <v>97557.960863211687</v>
      </c>
      <c r="CR226" s="3" t="str">
        <f t="shared" si="161"/>
        <v xml:space="preserve">izolacija ovoja, stavbno pohištvo, izolacija podstrešja, </v>
      </c>
      <c r="CS226" s="9">
        <f>+BQ226*('MOL_tabela rezultatov'!CH226*faktorji!$B$26)+faktorji!$B$27*CG226</f>
        <v>19867.5</v>
      </c>
      <c r="CT226" s="3" t="str">
        <f t="shared" si="159"/>
        <v xml:space="preserve">energetsko upravljanje, manjši investicijski in organizacijski ukrepi, </v>
      </c>
      <c r="CU226" s="9">
        <f t="shared" si="190"/>
        <v>4966.875</v>
      </c>
      <c r="CV226" s="9">
        <f t="shared" ref="CV226:CX226" si="204">+CU226</f>
        <v>4966.875</v>
      </c>
      <c r="CW226" s="9">
        <f t="shared" si="204"/>
        <v>4966.875</v>
      </c>
      <c r="CX226" s="69">
        <f t="shared" si="204"/>
        <v>4966.875</v>
      </c>
    </row>
    <row r="227" spans="1:102" s="10" customFormat="1" ht="18" hidden="1" customHeight="1">
      <c r="A227" s="55" t="s">
        <v>27</v>
      </c>
      <c r="B227" s="3" t="s">
        <v>28</v>
      </c>
      <c r="C227" s="56"/>
      <c r="D227" s="56"/>
      <c r="E227" s="51" t="s">
        <v>1168</v>
      </c>
      <c r="F227" s="51" t="s">
        <v>1255</v>
      </c>
      <c r="G227" s="51">
        <v>2</v>
      </c>
      <c r="H227" s="51"/>
      <c r="I227" s="51"/>
      <c r="J227" s="51">
        <v>4</v>
      </c>
      <c r="K227" s="37" t="s">
        <v>1244</v>
      </c>
      <c r="L227" s="50"/>
      <c r="M227" s="4" t="s">
        <v>5</v>
      </c>
      <c r="N227" s="25">
        <v>55.810475537045704</v>
      </c>
      <c r="O227" s="25"/>
      <c r="P227" s="25"/>
      <c r="Q227" s="25"/>
      <c r="R227" s="25"/>
      <c r="S227" s="25"/>
      <c r="T227" s="25">
        <v>42.85</v>
      </c>
      <c r="U227" s="25">
        <v>98.660475537045699</v>
      </c>
      <c r="V227" s="30">
        <v>129.43664099078688</v>
      </c>
      <c r="W227" s="30">
        <v>168.58624237138108</v>
      </c>
      <c r="X227" s="31"/>
      <c r="Y227" s="31"/>
      <c r="Z227" s="31"/>
      <c r="AA227" s="31"/>
      <c r="AB227" s="31"/>
      <c r="AC227" s="31">
        <v>45.25</v>
      </c>
      <c r="AD227" s="31"/>
      <c r="AE227" s="32">
        <v>0</v>
      </c>
      <c r="AF227" s="1"/>
      <c r="AG227" s="4"/>
      <c r="AH227" s="4" t="s">
        <v>29</v>
      </c>
      <c r="AI227" s="6">
        <v>331.05</v>
      </c>
      <c r="AJ227" s="38">
        <v>100</v>
      </c>
      <c r="AK227" s="3" t="s">
        <v>30</v>
      </c>
      <c r="AL227" s="1" t="s">
        <v>14</v>
      </c>
      <c r="AM227" s="37"/>
      <c r="AN227" s="37"/>
      <c r="AO227" s="37"/>
      <c r="AP227" s="37"/>
      <c r="AQ227" s="37"/>
      <c r="AR227" s="37"/>
      <c r="AS227" s="37"/>
      <c r="AT227" s="37"/>
      <c r="AU227" s="37"/>
      <c r="AV227" s="37"/>
      <c r="AW227" s="37"/>
      <c r="AX227" s="37"/>
      <c r="AY227" s="37"/>
      <c r="AZ227" s="37"/>
      <c r="BA227" s="37"/>
      <c r="BB227" s="37"/>
      <c r="BC227" s="37"/>
      <c r="BD227" s="37"/>
      <c r="BE227" s="37"/>
      <c r="BF227" s="37"/>
      <c r="BG227" s="42">
        <v>60.3</v>
      </c>
      <c r="BH227" s="42"/>
      <c r="BI227" s="42"/>
      <c r="BJ227" s="42"/>
      <c r="BK227" s="44">
        <v>60.3</v>
      </c>
      <c r="BL227" s="44">
        <v>42.85</v>
      </c>
      <c r="BM227" s="44">
        <f>+BK227+BL227</f>
        <v>103.15</v>
      </c>
      <c r="BN227" s="47">
        <v>182.17522658610272</v>
      </c>
      <c r="BO227" s="47">
        <v>129.45619335347433</v>
      </c>
      <c r="BP227" s="45">
        <v>311.63141993957703</v>
      </c>
      <c r="BQ227" s="9">
        <v>331</v>
      </c>
      <c r="BR227" s="4"/>
      <c r="BS227" s="4"/>
      <c r="BT227" s="4"/>
      <c r="BU227" s="4"/>
      <c r="BV227" s="4"/>
      <c r="BW227" s="4"/>
      <c r="BX227" s="4"/>
      <c r="BY227" s="9">
        <f>+INT(BK227*faktorji!$B$3)</f>
        <v>3919</v>
      </c>
      <c r="BZ227" s="9">
        <f>+INT(BL227*faktorji!$B$4)</f>
        <v>7070</v>
      </c>
      <c r="CA227" s="3" t="s">
        <v>1313</v>
      </c>
      <c r="CB227" s="4">
        <v>0</v>
      </c>
      <c r="CC227" s="4">
        <v>0</v>
      </c>
      <c r="CD227" s="4">
        <v>0</v>
      </c>
      <c r="CE227" s="4">
        <v>0</v>
      </c>
      <c r="CF227" s="4">
        <v>0</v>
      </c>
      <c r="CG227" s="4">
        <v>1</v>
      </c>
      <c r="CH227" s="4">
        <v>1</v>
      </c>
      <c r="CI227" s="9">
        <f>+BQ227*(CB227*faktorji!$B$21+'MOL_tabela rezultatov'!CF7*faktorji!$B$23+'MOL_tabela rezultatov'!CH7*faktorji!$B$26)+faktorji!$B$27*CG227</f>
        <v>23461.5</v>
      </c>
      <c r="CJ227" s="9">
        <f>+(BZ227*CF227*faktorji!$B$18)+(CG227*faktorji!$B$17*('MOL_tabela rezultatov'!BY7+'MOL_tabela rezultatov'!BZ7))+('MOL_tabela rezultatov'!CH7*faktorji!$B$16*'MOL_tabela rezultatov'!BY7)+('MOL_tabela rezultatov'!CB7*faktorji!$B$12*'MOL_tabela rezultatov'!BY7)</f>
        <v>0</v>
      </c>
      <c r="CK227" s="66" t="e">
        <f>+CI227/CJ227</f>
        <v>#DIV/0!</v>
      </c>
      <c r="CL227" s="3" t="str">
        <f>CONCATENATE(IF(CB227&gt;0,"kotlovnica/toplotna postaja, ",""),IF(CF227&gt;0,"razsvetljava, ",""),IF(CG227&gt;0,"energetsko upravljanje, ",""),IF(CH227&gt;0,"manjši investicijski in organizacijski ukrepi, ",""))</f>
        <v xml:space="preserve">energetsko upravljanje, manjši investicijski in organizacijski ukrepi, </v>
      </c>
      <c r="CM227" s="9">
        <f>+CJ227*0.9</f>
        <v>0</v>
      </c>
      <c r="CN227" s="9">
        <f>+CJ227*0.9</f>
        <v>0</v>
      </c>
      <c r="CO227" s="9">
        <f>+CJ227*0.9</f>
        <v>0</v>
      </c>
      <c r="CP227" s="69">
        <f>+IF(CI227-SUM(CM227:CO227)&lt;0,0,CI227-SUM(CM227:CO227))</f>
        <v>23461.5</v>
      </c>
      <c r="CQ227" s="9">
        <f>+(BQ227*CE227*faktorji!$B$24)+(BQ227^0.5*CC227*4*4*0.66*faktorji!$B$22)+(BQ227^0.5*CD227*4*4*0.33*faktorji!$B$25)</f>
        <v>0</v>
      </c>
      <c r="CR227" s="3" t="str">
        <f t="shared" si="161"/>
        <v/>
      </c>
      <c r="CS227" s="9">
        <f>+BQ227*('MOL_tabela rezultatov'!CH227*faktorji!$B$26)+faktorji!$B$27*CG227</f>
        <v>18496.5</v>
      </c>
      <c r="CT227" s="3" t="str">
        <f t="shared" si="159"/>
        <v xml:space="preserve">energetsko upravljanje, manjši investicijski in organizacijski ukrepi, </v>
      </c>
      <c r="CU227" s="9">
        <f t="shared" si="190"/>
        <v>4624.125</v>
      </c>
      <c r="CV227" s="9">
        <f t="shared" ref="CV227:CX227" si="205">+CU227</f>
        <v>4624.125</v>
      </c>
      <c r="CW227" s="9">
        <f t="shared" si="205"/>
        <v>4624.125</v>
      </c>
      <c r="CX227" s="69">
        <f t="shared" si="205"/>
        <v>4624.125</v>
      </c>
    </row>
    <row r="228" spans="1:102" s="10" customFormat="1" ht="18" hidden="1" customHeight="1">
      <c r="A228" s="53" t="s">
        <v>779</v>
      </c>
      <c r="B228" s="2" t="s">
        <v>780</v>
      </c>
      <c r="C228" s="57"/>
      <c r="D228" s="57"/>
      <c r="E228" s="51" t="s">
        <v>1176</v>
      </c>
      <c r="F228" s="51"/>
      <c r="G228" s="51">
        <v>3</v>
      </c>
      <c r="H228" s="51"/>
      <c r="I228" s="51"/>
      <c r="J228" s="51">
        <v>7</v>
      </c>
      <c r="K228" s="37" t="s">
        <v>1243</v>
      </c>
      <c r="L228" s="50"/>
      <c r="M228" s="4" t="s">
        <v>6</v>
      </c>
      <c r="N228" s="25"/>
      <c r="O228" s="25">
        <v>102.6</v>
      </c>
      <c r="P228" s="25"/>
      <c r="Q228" s="25"/>
      <c r="R228" s="25"/>
      <c r="S228" s="25"/>
      <c r="T228" s="25">
        <v>18.996508337614461</v>
      </c>
      <c r="U228" s="25">
        <v>121.59650833761445</v>
      </c>
      <c r="V228" s="30">
        <v>31.819946964178328</v>
      </c>
      <c r="W228" s="30">
        <v>171.85929648241205</v>
      </c>
      <c r="X228" s="31"/>
      <c r="Y228" s="31"/>
      <c r="Z228" s="31"/>
      <c r="AA228" s="31"/>
      <c r="AB228" s="31"/>
      <c r="AC228" s="31"/>
      <c r="AD228" s="31"/>
      <c r="AE228" s="32"/>
      <c r="AF228" s="16" t="s">
        <v>781</v>
      </c>
      <c r="AG228" s="3">
        <v>1978</v>
      </c>
      <c r="AH228" s="4"/>
      <c r="AI228" s="6">
        <v>597</v>
      </c>
      <c r="AJ228" s="38">
        <v>100</v>
      </c>
      <c r="AK228" s="3"/>
      <c r="AL228" s="1" t="s">
        <v>782</v>
      </c>
      <c r="AM228" s="37"/>
      <c r="AN228" s="37"/>
      <c r="AO228" s="37"/>
      <c r="AP228" s="37"/>
      <c r="AQ228" s="37">
        <f>(3220*9.5)/1000</f>
        <v>30.59</v>
      </c>
      <c r="AR228" s="37">
        <f>(3126*9.5)/1000</f>
        <v>29.696999999999999</v>
      </c>
      <c r="AS228" s="37">
        <f>(4150*9.5)/1000</f>
        <v>39.424999999999997</v>
      </c>
      <c r="AT228" s="37">
        <f>(3222*9.5)/1000</f>
        <v>30.609000000000002</v>
      </c>
      <c r="AU228" s="37"/>
      <c r="AV228" s="37"/>
      <c r="AW228" s="37"/>
      <c r="AX228" s="37"/>
      <c r="AY228" s="37"/>
      <c r="AZ228" s="37"/>
      <c r="BA228" s="37"/>
      <c r="BB228" s="37"/>
      <c r="BC228" s="37">
        <v>5.6</v>
      </c>
      <c r="BD228" s="37">
        <v>5.6</v>
      </c>
      <c r="BE228" s="37">
        <v>5.6</v>
      </c>
      <c r="BF228" s="37">
        <v>5.6</v>
      </c>
      <c r="BG228" s="42"/>
      <c r="BH228" s="42">
        <v>113.86</v>
      </c>
      <c r="BI228" s="42"/>
      <c r="BJ228" s="42"/>
      <c r="BK228" s="44">
        <v>113.86</v>
      </c>
      <c r="BL228" s="44">
        <v>5.6</v>
      </c>
      <c r="BM228" s="44">
        <f>+BK228+BL228</f>
        <v>119.46</v>
      </c>
      <c r="BN228" s="47">
        <v>189.76666666666668</v>
      </c>
      <c r="BO228" s="47">
        <v>9.3333333333333339</v>
      </c>
      <c r="BP228" s="45">
        <v>199.1</v>
      </c>
      <c r="BQ228" s="9">
        <v>600</v>
      </c>
      <c r="BR228" s="4">
        <v>90</v>
      </c>
      <c r="BS228" s="4">
        <v>1978</v>
      </c>
      <c r="BT228" s="4" t="s">
        <v>872</v>
      </c>
      <c r="BU228" s="4" t="s">
        <v>955</v>
      </c>
      <c r="BV228" s="4" t="s">
        <v>871</v>
      </c>
      <c r="BW228" s="4" t="s">
        <v>956</v>
      </c>
      <c r="BX228" s="4"/>
      <c r="BY228" s="9">
        <f>+INT(BK228*faktorji!$B$5)</f>
        <v>10816</v>
      </c>
      <c r="BZ228" s="9">
        <f>+INT(BL228*faktorji!$B$4)</f>
        <v>924</v>
      </c>
      <c r="CA228" s="4"/>
      <c r="CB228" s="4">
        <v>1</v>
      </c>
      <c r="CC228" s="4">
        <v>1</v>
      </c>
      <c r="CD228" s="4">
        <v>0</v>
      </c>
      <c r="CE228" s="4">
        <v>0</v>
      </c>
      <c r="CF228" s="4">
        <v>1</v>
      </c>
      <c r="CG228" s="4">
        <v>1</v>
      </c>
      <c r="CH228" s="4">
        <v>1</v>
      </c>
      <c r="CI228" s="9">
        <f>+BQ228*(CB228*faktorji!$B$21+'MOL_tabela rezultatov'!CF283*faktorji!$B$23+'MOL_tabela rezultatov'!CH283*faktorji!$B$26)+faktorji!$B$27*CG228</f>
        <v>36900</v>
      </c>
      <c r="CJ228" s="9">
        <f>+(BZ228*CF228*faktorji!$B$18)+(CG228*faktorji!$B$17*('MOL_tabela rezultatov'!BY283+'MOL_tabela rezultatov'!BZ283))+('MOL_tabela rezultatov'!CH283*faktorji!$B$16*'MOL_tabela rezultatov'!BY283)+('MOL_tabela rezultatov'!CB283*faktorji!$B$12*'MOL_tabela rezultatov'!BY283)</f>
        <v>420.80000000000007</v>
      </c>
      <c r="CK228" s="66">
        <f>+CI228/CJ228</f>
        <v>87.690114068441048</v>
      </c>
      <c r="CL228" s="3" t="str">
        <f>CONCATENATE(IF(CB228&gt;0,"kotlovnica/toplotna postaja, ",""),IF(CF228&gt;0,"razsvetljava, ",""),IF(CG228&gt;0,"energetsko upravljanje, ",""),IF(CH228&gt;0,"manjši investicijski in organizacijski ukrepi, ",""))</f>
        <v xml:space="preserve">kotlovnica/toplotna postaja, razsvetljava, energetsko upravljanje, manjši investicijski in organizacijski ukrepi, </v>
      </c>
      <c r="CM228" s="9">
        <f>+CJ228*0.9</f>
        <v>378.72000000000008</v>
      </c>
      <c r="CN228" s="9">
        <f>+CJ228*0.9</f>
        <v>378.72000000000008</v>
      </c>
      <c r="CO228" s="9">
        <f>+CJ228*0.9</f>
        <v>378.72000000000008</v>
      </c>
      <c r="CP228" s="69">
        <f>+IF(CI228-SUM(CM228:CO228)&lt;0,0,CI228-SUM(CM228:CO228))</f>
        <v>35763.839999999997</v>
      </c>
      <c r="CQ228" s="9">
        <f>+(BQ228*CE228*faktorji!$B$24)+(BQ228^0.5*CC228*4*4*0.66*faktorji!$B$22)+(BQ228^0.5*CD228*4*4*0.33*faktorji!$B$25)</f>
        <v>18106.628178653253</v>
      </c>
      <c r="CR228" s="3" t="str">
        <f t="shared" si="161"/>
        <v xml:space="preserve">izolacija ovoja, </v>
      </c>
      <c r="CS228" s="9">
        <f>+BQ228*('MOL_tabela rezultatov'!CH228*faktorji!$B$26)+faktorji!$B$27*CG228</f>
        <v>18900</v>
      </c>
      <c r="CT228" s="3" t="str">
        <f t="shared" si="159"/>
        <v xml:space="preserve">energetsko upravljanje, manjši investicijski in organizacijski ukrepi, </v>
      </c>
      <c r="CU228" s="9">
        <f t="shared" si="190"/>
        <v>4725</v>
      </c>
      <c r="CV228" s="9">
        <f t="shared" ref="CV228:CX228" si="206">+CU228</f>
        <v>4725</v>
      </c>
      <c r="CW228" s="9">
        <f t="shared" si="206"/>
        <v>4725</v>
      </c>
      <c r="CX228" s="69">
        <f t="shared" si="206"/>
        <v>4725</v>
      </c>
    </row>
    <row r="229" spans="1:102" s="10" customFormat="1" ht="18" hidden="1" customHeight="1">
      <c r="A229" s="53" t="s">
        <v>544</v>
      </c>
      <c r="B229" s="2" t="s">
        <v>545</v>
      </c>
      <c r="C229" s="57"/>
      <c r="D229" s="57"/>
      <c r="E229" s="51" t="s">
        <v>1175</v>
      </c>
      <c r="F229" s="51"/>
      <c r="G229" s="51">
        <v>2</v>
      </c>
      <c r="H229" s="51"/>
      <c r="I229" s="51"/>
      <c r="J229" s="51">
        <v>2</v>
      </c>
      <c r="K229" s="37" t="s">
        <v>1241</v>
      </c>
      <c r="L229" s="50"/>
      <c r="M229" s="4" t="s">
        <v>7</v>
      </c>
      <c r="N229" s="25"/>
      <c r="O229" s="25"/>
      <c r="P229" s="25">
        <v>55</v>
      </c>
      <c r="Q229" s="25"/>
      <c r="R229" s="25"/>
      <c r="S229" s="25"/>
      <c r="T229" s="25">
        <v>6.931</v>
      </c>
      <c r="U229" s="25">
        <v>61.930999999999997</v>
      </c>
      <c r="V229" s="30">
        <v>31.08071748878924</v>
      </c>
      <c r="W229" s="30">
        <v>246.63677130044843</v>
      </c>
      <c r="X229" s="31"/>
      <c r="Y229" s="31"/>
      <c r="Z229" s="31"/>
      <c r="AA229" s="31"/>
      <c r="AB229" s="31"/>
      <c r="AC229" s="31"/>
      <c r="AD229" s="31"/>
      <c r="AE229" s="32"/>
      <c r="AF229" s="16" t="s">
        <v>546</v>
      </c>
      <c r="AG229" s="3">
        <v>1996</v>
      </c>
      <c r="AH229" s="4"/>
      <c r="AI229" s="6">
        <v>223</v>
      </c>
      <c r="AJ229" s="38">
        <v>100</v>
      </c>
      <c r="AK229" s="3"/>
      <c r="AL229" s="1" t="s">
        <v>421</v>
      </c>
      <c r="AM229" s="37"/>
      <c r="AN229" s="37"/>
      <c r="AO229" s="37"/>
      <c r="AP229" s="37"/>
      <c r="AQ229" s="37"/>
      <c r="AR229" s="37"/>
      <c r="AS229" s="37"/>
      <c r="AT229" s="37"/>
      <c r="AU229" s="37"/>
      <c r="AV229" s="37"/>
      <c r="AW229" s="37"/>
      <c r="AX229" s="37"/>
      <c r="AY229" s="37"/>
      <c r="AZ229" s="37"/>
      <c r="BA229" s="37"/>
      <c r="BB229" s="37"/>
      <c r="BC229" s="37"/>
      <c r="BD229" s="37"/>
      <c r="BE229" s="37"/>
      <c r="BF229" s="37"/>
      <c r="BG229" s="42"/>
      <c r="BH229" s="42"/>
      <c r="BI229" s="42">
        <v>55</v>
      </c>
      <c r="BJ229" s="42"/>
      <c r="BK229" s="44">
        <v>55</v>
      </c>
      <c r="BL229" s="44">
        <v>6.93</v>
      </c>
      <c r="BM229" s="44">
        <f>+BK229+BL229</f>
        <v>61.93</v>
      </c>
      <c r="BN229" s="47">
        <v>246.63677130044843</v>
      </c>
      <c r="BO229" s="47">
        <v>31.076233183856502</v>
      </c>
      <c r="BP229" s="45">
        <v>277.71300448430492</v>
      </c>
      <c r="BQ229" s="9">
        <v>223</v>
      </c>
      <c r="BR229" s="4"/>
      <c r="BS229" s="4"/>
      <c r="BT229" s="4"/>
      <c r="BU229" s="4"/>
      <c r="BV229" s="4"/>
      <c r="BW229" s="4"/>
      <c r="BX229" s="4"/>
      <c r="BY229" s="9">
        <f>+INT(BK229*faktorji!$B$6)</f>
        <v>6875</v>
      </c>
      <c r="BZ229" s="9">
        <f>+INT(BL229*faktorji!$B$4)</f>
        <v>1143</v>
      </c>
      <c r="CA229" s="3" t="s">
        <v>1300</v>
      </c>
      <c r="CB229" s="4">
        <v>1</v>
      </c>
      <c r="CC229" s="4">
        <v>0</v>
      </c>
      <c r="CD229" s="4">
        <v>0</v>
      </c>
      <c r="CE229" s="4">
        <v>0</v>
      </c>
      <c r="CF229" s="4">
        <v>1</v>
      </c>
      <c r="CG229" s="4">
        <v>1</v>
      </c>
      <c r="CH229" s="4">
        <v>1</v>
      </c>
      <c r="CI229" s="9">
        <f>+BQ229*(CB229*faktorji!$B$21+'MOL_tabela rezultatov'!CF206*faktorji!$B$23+'MOL_tabela rezultatov'!CH206*faktorji!$B$26)+faktorji!$B$27*CG229</f>
        <v>25024.5</v>
      </c>
      <c r="CJ229" s="9">
        <f>+(BZ229*CF229*faktorji!$B$18)+(CG229*faktorji!$B$17*('MOL_tabela rezultatov'!BY206+'MOL_tabela rezultatov'!BZ206))+('MOL_tabela rezultatov'!CH206*faktorji!$B$16*'MOL_tabela rezultatov'!BY206)+('MOL_tabela rezultatov'!CB206*faktorji!$B$12*'MOL_tabela rezultatov'!BY206)</f>
        <v>2041.45</v>
      </c>
      <c r="CK229" s="66">
        <f>+CI229/CJ229</f>
        <v>12.258198829263513</v>
      </c>
      <c r="CL229" s="3" t="str">
        <f>CONCATENATE(IF(CB229&gt;0,"kotlovnica/toplotna postaja, ",""),IF(CF229&gt;0,"razsvetljava, ",""),IF(CG229&gt;0,"energetsko upravljanje, ",""),IF(CH229&gt;0,"manjši investicijski in organizacijski ukrepi, ",""))</f>
        <v xml:space="preserve">kotlovnica/toplotna postaja, razsvetljava, energetsko upravljanje, manjši investicijski in organizacijski ukrepi, </v>
      </c>
      <c r="CM229" s="9">
        <f>+CJ229*0.9</f>
        <v>1837.3050000000001</v>
      </c>
      <c r="CN229" s="9">
        <f>+CJ229*0.9</f>
        <v>1837.3050000000001</v>
      </c>
      <c r="CO229" s="9">
        <f>+CJ229*0.9</f>
        <v>1837.3050000000001</v>
      </c>
      <c r="CP229" s="69">
        <f>+IF(CI229-SUM(CM229:CO229)&lt;0,0,CI229-SUM(CM229:CO229))</f>
        <v>19512.584999999999</v>
      </c>
      <c r="CQ229" s="9">
        <f>+(BQ229*CE229*faktorji!$B$24)+(BQ229^0.5*CC229*4*4*0.66*faktorji!$B$22)+(BQ229^0.5*CD229*4*4*0.33*faktorji!$B$25)</f>
        <v>0</v>
      </c>
      <c r="CR229" s="3" t="str">
        <f t="shared" si="161"/>
        <v/>
      </c>
      <c r="CS229" s="9">
        <f>+BQ229*('MOL_tabela rezultatov'!CH229*faktorji!$B$26)+faktorji!$B$27*CG229</f>
        <v>18334.5</v>
      </c>
      <c r="CT229" s="3" t="str">
        <f t="shared" si="159"/>
        <v xml:space="preserve">energetsko upravljanje, manjši investicijski in organizacijski ukrepi, </v>
      </c>
      <c r="CU229" s="9">
        <f t="shared" si="190"/>
        <v>4583.625</v>
      </c>
      <c r="CV229" s="9">
        <f t="shared" ref="CV229:CX229" si="207">+CU229</f>
        <v>4583.625</v>
      </c>
      <c r="CW229" s="9">
        <f t="shared" si="207"/>
        <v>4583.625</v>
      </c>
      <c r="CX229" s="69">
        <f t="shared" si="207"/>
        <v>4583.625</v>
      </c>
    </row>
    <row r="230" spans="1:102" s="10" customFormat="1" ht="18" hidden="1" customHeight="1">
      <c r="A230" s="53" t="s">
        <v>515</v>
      </c>
      <c r="B230" s="2" t="s">
        <v>516</v>
      </c>
      <c r="C230" s="57"/>
      <c r="D230" s="57"/>
      <c r="E230" s="51" t="s">
        <v>1175</v>
      </c>
      <c r="F230" s="51"/>
      <c r="G230" s="51">
        <v>3</v>
      </c>
      <c r="H230" s="51"/>
      <c r="I230" s="51"/>
      <c r="J230" s="51">
        <v>7</v>
      </c>
      <c r="K230" s="37" t="s">
        <v>1243</v>
      </c>
      <c r="L230" s="50"/>
      <c r="M230" s="4" t="s">
        <v>5</v>
      </c>
      <c r="N230" s="25">
        <v>514</v>
      </c>
      <c r="O230" s="25"/>
      <c r="P230" s="25"/>
      <c r="Q230" s="25"/>
      <c r="R230" s="25"/>
      <c r="S230" s="25"/>
      <c r="T230" s="25">
        <v>181.61699999999999</v>
      </c>
      <c r="U230" s="25">
        <v>695.61699999999996</v>
      </c>
      <c r="V230" s="30">
        <v>31.427063505796848</v>
      </c>
      <c r="W230" s="30">
        <v>88.942723654611527</v>
      </c>
      <c r="X230" s="31"/>
      <c r="Y230" s="31"/>
      <c r="Z230" s="31"/>
      <c r="AA230" s="31"/>
      <c r="AB230" s="31"/>
      <c r="AC230" s="31"/>
      <c r="AD230" s="31"/>
      <c r="AE230" s="32"/>
      <c r="AF230" s="16" t="s">
        <v>468</v>
      </c>
      <c r="AG230" s="3"/>
      <c r="AH230" s="4"/>
      <c r="AI230" s="6">
        <v>5779</v>
      </c>
      <c r="AJ230" s="38">
        <v>100</v>
      </c>
      <c r="AK230" s="3"/>
      <c r="AL230" s="1" t="s">
        <v>517</v>
      </c>
      <c r="AM230" s="37"/>
      <c r="AN230" s="37"/>
      <c r="AO230" s="37"/>
      <c r="AP230" s="37"/>
      <c r="AQ230" s="37"/>
      <c r="AR230" s="37"/>
      <c r="AS230" s="37"/>
      <c r="AT230" s="37"/>
      <c r="AU230" s="37"/>
      <c r="AV230" s="37"/>
      <c r="AW230" s="37"/>
      <c r="AX230" s="37"/>
      <c r="AY230" s="37"/>
      <c r="AZ230" s="37"/>
      <c r="BA230" s="37"/>
      <c r="BB230" s="37"/>
      <c r="BC230" s="37">
        <v>110.5</v>
      </c>
      <c r="BD230" s="37">
        <v>137.9</v>
      </c>
      <c r="BE230" s="37">
        <v>139.03</v>
      </c>
      <c r="BF230" s="37">
        <v>163.25</v>
      </c>
      <c r="BG230" s="42">
        <v>723.7</v>
      </c>
      <c r="BH230" s="42">
        <v>26.14</v>
      </c>
      <c r="BI230" s="42"/>
      <c r="BJ230" s="42"/>
      <c r="BK230" s="44">
        <v>749.84</v>
      </c>
      <c r="BL230" s="44">
        <v>137.67000000000002</v>
      </c>
      <c r="BM230" s="44">
        <f>+BK230+BL230</f>
        <v>887.51</v>
      </c>
      <c r="BN230" s="47">
        <v>144.03380714560123</v>
      </c>
      <c r="BO230" s="47">
        <v>26.44448713023435</v>
      </c>
      <c r="BP230" s="45">
        <v>170.47829427583557</v>
      </c>
      <c r="BQ230" s="9">
        <v>5206</v>
      </c>
      <c r="BR230" s="4"/>
      <c r="BS230" s="4">
        <v>1994</v>
      </c>
      <c r="BT230" s="4" t="s">
        <v>872</v>
      </c>
      <c r="BU230" s="4" t="s">
        <v>136</v>
      </c>
      <c r="BV230" s="4" t="s">
        <v>1041</v>
      </c>
      <c r="BW230" s="4" t="s">
        <v>874</v>
      </c>
      <c r="BX230" s="4"/>
      <c r="BY230" s="9">
        <f>+INT(BK230*faktorji!$B$3)</f>
        <v>48739</v>
      </c>
      <c r="BZ230" s="9">
        <f>+INT(BL230*faktorji!$B$4)</f>
        <v>22715</v>
      </c>
      <c r="CA230" s="4"/>
      <c r="CB230" s="4">
        <v>1</v>
      </c>
      <c r="CC230" s="4">
        <v>1</v>
      </c>
      <c r="CD230" s="4">
        <v>0</v>
      </c>
      <c r="CE230" s="4">
        <v>0</v>
      </c>
      <c r="CF230" s="4">
        <v>0</v>
      </c>
      <c r="CG230" s="4">
        <v>1</v>
      </c>
      <c r="CH230" s="4">
        <v>1</v>
      </c>
      <c r="CI230" s="9">
        <f>+BQ230*(CB230*faktorji!$B$21+'MOL_tabela rezultatov'!CF198*faktorji!$B$23+'MOL_tabela rezultatov'!CH198*faktorji!$B$26)+faktorji!$B$27*CG230</f>
        <v>174180</v>
      </c>
      <c r="CJ230" s="9">
        <f>+(BZ230*CF230*faktorji!$B$18)+(CG230*faktorji!$B$17*('MOL_tabela rezultatov'!BY198+'MOL_tabela rezultatov'!BZ198))+('MOL_tabela rezultatov'!CH198*faktorji!$B$16*'MOL_tabela rezultatov'!BY198)+('MOL_tabela rezultatov'!CB198*faktorji!$B$12*'MOL_tabela rezultatov'!BY198)</f>
        <v>10493.2</v>
      </c>
      <c r="CK230" s="66">
        <f>+CI230/CJ230</f>
        <v>16.599321465329925</v>
      </c>
      <c r="CL230" s="3" t="str">
        <f>CONCATENATE(IF(CB230&gt;0,"kotlovnica/toplotna postaja, ",""),IF(CF230&gt;0,"razsvetljava, ",""),IF(CG230&gt;0,"energetsko upravljanje, ",""),IF(CH230&gt;0,"manjši investicijski in organizacijski ukrepi, ",""))</f>
        <v xml:space="preserve">kotlovnica/toplotna postaja, energetsko upravljanje, manjši investicijski in organizacijski ukrepi, </v>
      </c>
      <c r="CM230" s="9">
        <f>+CJ230*0.9</f>
        <v>9443.880000000001</v>
      </c>
      <c r="CN230" s="9">
        <f>+CJ230*0.9</f>
        <v>9443.880000000001</v>
      </c>
      <c r="CO230" s="9">
        <f>+CJ230*0.9</f>
        <v>9443.880000000001</v>
      </c>
      <c r="CP230" s="69">
        <f>+IF(CI230-SUM(CM230:CO230)&lt;0,0,CI230-SUM(CM230:CO230))</f>
        <v>145848.35999999999</v>
      </c>
      <c r="CQ230" s="9">
        <f>+(BQ230*CE230*faktorji!$B$24)+(BQ230^0.5*CC230*4*4*0.66*faktorji!$B$22)+(BQ230^0.5*CD230*4*4*0.33*faktorji!$B$25)</f>
        <v>53335.213769516289</v>
      </c>
      <c r="CR230" s="3" t="str">
        <f t="shared" si="161"/>
        <v xml:space="preserve">izolacija ovoja, </v>
      </c>
      <c r="CS230" s="9">
        <f>+BQ230*('MOL_tabela rezultatov'!CH230*faktorji!$B$26)+faktorji!$B$27*CG230</f>
        <v>25809</v>
      </c>
      <c r="CT230" s="3" t="str">
        <f t="shared" si="159"/>
        <v xml:space="preserve">energetsko upravljanje, manjši investicijski in organizacijski ukrepi, </v>
      </c>
      <c r="CU230" s="9">
        <f t="shared" si="190"/>
        <v>6452.25</v>
      </c>
      <c r="CV230" s="9">
        <f t="shared" ref="CV230:CX230" si="208">+CU230</f>
        <v>6452.25</v>
      </c>
      <c r="CW230" s="9">
        <f t="shared" si="208"/>
        <v>6452.25</v>
      </c>
      <c r="CX230" s="69">
        <f t="shared" si="208"/>
        <v>6452.25</v>
      </c>
    </row>
    <row r="231" spans="1:102" s="10" customFormat="1" ht="18" hidden="1" customHeight="1">
      <c r="A231" s="53" t="s">
        <v>248</v>
      </c>
      <c r="B231" s="2" t="s">
        <v>255</v>
      </c>
      <c r="C231" s="57"/>
      <c r="D231" s="57"/>
      <c r="E231" s="51" t="s">
        <v>1173</v>
      </c>
      <c r="F231" s="51"/>
      <c r="G231" s="51">
        <v>3</v>
      </c>
      <c r="H231" s="51"/>
      <c r="I231" s="51"/>
      <c r="J231" s="51">
        <v>7</v>
      </c>
      <c r="K231" s="37" t="s">
        <v>1244</v>
      </c>
      <c r="L231" s="50"/>
      <c r="M231" s="4" t="s">
        <v>6</v>
      </c>
      <c r="N231" s="25"/>
      <c r="O231" s="25">
        <v>52.76</v>
      </c>
      <c r="P231" s="25"/>
      <c r="Q231" s="25"/>
      <c r="R231" s="25"/>
      <c r="S231" s="25"/>
      <c r="T231" s="25">
        <v>12.964624246113045</v>
      </c>
      <c r="U231" s="25">
        <v>65.724624246113038</v>
      </c>
      <c r="V231" s="30">
        <v>26.458416828802132</v>
      </c>
      <c r="W231" s="30">
        <v>107.67346938775511</v>
      </c>
      <c r="X231" s="31"/>
      <c r="Y231" s="31">
        <v>63.3</v>
      </c>
      <c r="Z231" s="31"/>
      <c r="AA231" s="31"/>
      <c r="AB231" s="31"/>
      <c r="AC231" s="31"/>
      <c r="AD231" s="31"/>
      <c r="AE231" s="32">
        <v>129.18367346938774</v>
      </c>
      <c r="AF231" s="1"/>
      <c r="AG231" s="4"/>
      <c r="AH231" s="4"/>
      <c r="AI231" s="6">
        <v>490</v>
      </c>
      <c r="AJ231" s="38">
        <v>100</v>
      </c>
      <c r="AK231" s="3"/>
      <c r="AL231" s="1"/>
      <c r="AM231" s="37"/>
      <c r="AN231" s="37"/>
      <c r="AO231" s="37"/>
      <c r="AP231" s="37"/>
      <c r="AQ231" s="37"/>
      <c r="AR231" s="37"/>
      <c r="AS231" s="37"/>
      <c r="AT231" s="37"/>
      <c r="AU231" s="37"/>
      <c r="AV231" s="37"/>
      <c r="AW231" s="37"/>
      <c r="AX231" s="37"/>
      <c r="AY231" s="37"/>
      <c r="AZ231" s="37"/>
      <c r="BA231" s="37"/>
      <c r="BB231" s="37"/>
      <c r="BC231" s="37"/>
      <c r="BD231" s="37"/>
      <c r="BE231" s="37"/>
      <c r="BF231" s="37"/>
      <c r="BG231" s="42"/>
      <c r="BH231" s="42">
        <v>17.2</v>
      </c>
      <c r="BI231" s="42"/>
      <c r="BJ231" s="42"/>
      <c r="BK231" s="44">
        <v>17.2</v>
      </c>
      <c r="BL231" s="44">
        <v>19.992000000000001</v>
      </c>
      <c r="BM231" s="44">
        <f>+BK231+BL231</f>
        <v>37.192</v>
      </c>
      <c r="BN231" s="47">
        <v>35.102040816326529</v>
      </c>
      <c r="BO231" s="47">
        <v>40.799999999999997</v>
      </c>
      <c r="BP231" s="45">
        <v>75.902040816326533</v>
      </c>
      <c r="BQ231" s="9">
        <v>490</v>
      </c>
      <c r="BR231" s="4"/>
      <c r="BS231" s="4"/>
      <c r="BT231" s="4"/>
      <c r="BU231" s="4"/>
      <c r="BV231" s="4"/>
      <c r="BW231" s="4"/>
      <c r="BX231" s="4"/>
      <c r="BY231" s="9">
        <f>+INT(BK231*faktorji!$B$5)</f>
        <v>1634</v>
      </c>
      <c r="BZ231" s="9">
        <f>+INT(BL231*faktorji!$B$4)</f>
        <v>3298</v>
      </c>
      <c r="CA231" s="4"/>
      <c r="CB231" s="4">
        <v>0</v>
      </c>
      <c r="CC231" s="4">
        <v>0</v>
      </c>
      <c r="CD231" s="4">
        <v>0</v>
      </c>
      <c r="CE231" s="4">
        <v>0</v>
      </c>
      <c r="CF231" s="4">
        <v>1</v>
      </c>
      <c r="CG231" s="4">
        <v>1</v>
      </c>
      <c r="CH231" s="4">
        <v>1</v>
      </c>
      <c r="CI231" s="9">
        <f>+BQ231*(CB231*faktorji!$B$21+'MOL_tabela rezultatov'!CF92*faktorji!$B$23+'MOL_tabela rezultatov'!CH92*faktorji!$B$26)+faktorji!$B$27*CG231</f>
        <v>18735</v>
      </c>
      <c r="CJ231" s="9">
        <f>+(BZ231*CF231*faktorji!$B$18)+(CG231*faktorji!$B$17*('MOL_tabela rezultatov'!BY92+'MOL_tabela rezultatov'!BZ92))+('MOL_tabela rezultatov'!CH92*faktorji!$B$16*'MOL_tabela rezultatov'!BY92)+('MOL_tabela rezultatov'!CB92*faktorji!$B$12*'MOL_tabela rezultatov'!BY92)</f>
        <v>1129</v>
      </c>
      <c r="CK231" s="66">
        <f>+CI231/CJ231</f>
        <v>16.594331266607618</v>
      </c>
      <c r="CL231" s="3" t="str">
        <f>CONCATENATE(IF(CB231&gt;0,"kotlovnica/toplotna postaja, ",""),IF(CF231&gt;0,"razsvetljava, ",""),IF(CG231&gt;0,"energetsko upravljanje, ",""),IF(CH231&gt;0,"manjši investicijski in organizacijski ukrepi, ",""))</f>
        <v xml:space="preserve">razsvetljava, energetsko upravljanje, manjši investicijski in organizacijski ukrepi, </v>
      </c>
      <c r="CM231" s="9">
        <f>+CJ231*0.9</f>
        <v>1016.1</v>
      </c>
      <c r="CN231" s="9">
        <f>+CJ231*0.9</f>
        <v>1016.1</v>
      </c>
      <c r="CO231" s="9">
        <f>+CJ231*0.9</f>
        <v>1016.1</v>
      </c>
      <c r="CP231" s="69">
        <f>+IF(CI231-SUM(CM231:CO231)&lt;0,0,CI231-SUM(CM231:CO231))</f>
        <v>15686.7</v>
      </c>
      <c r="CQ231" s="9">
        <f>+(BQ231*CE231*faktorji!$B$24)+(BQ231^0.5*CC231*4*4*0.66*faktorji!$B$22)+(BQ231^0.5*CD231*4*4*0.33*faktorji!$B$25)</f>
        <v>0</v>
      </c>
      <c r="CR231" s="3" t="str">
        <f t="shared" si="161"/>
        <v/>
      </c>
      <c r="CS231" s="9">
        <f>+BQ231*('MOL_tabela rezultatov'!CH231*faktorji!$B$26)+faktorji!$B$27*CG231</f>
        <v>18735</v>
      </c>
      <c r="CT231" s="3" t="str">
        <f t="shared" si="159"/>
        <v xml:space="preserve">energetsko upravljanje, manjši investicijski in organizacijski ukrepi, </v>
      </c>
      <c r="CU231" s="9">
        <f t="shared" si="190"/>
        <v>4683.75</v>
      </c>
      <c r="CV231" s="9">
        <f t="shared" ref="CV231:CX231" si="209">+CU231</f>
        <v>4683.75</v>
      </c>
      <c r="CW231" s="9">
        <f t="shared" si="209"/>
        <v>4683.75</v>
      </c>
      <c r="CX231" s="69">
        <f t="shared" si="209"/>
        <v>4683.75</v>
      </c>
    </row>
    <row r="232" spans="1:102" s="10" customFormat="1" ht="18" hidden="1" customHeight="1">
      <c r="A232" s="53" t="s">
        <v>33</v>
      </c>
      <c r="B232" s="138" t="s">
        <v>34</v>
      </c>
      <c r="C232" s="56"/>
      <c r="D232" s="56"/>
      <c r="E232" s="51" t="s">
        <v>1168</v>
      </c>
      <c r="F232" s="51" t="s">
        <v>1255</v>
      </c>
      <c r="G232" s="51">
        <v>2</v>
      </c>
      <c r="H232" s="51"/>
      <c r="I232" s="51"/>
      <c r="J232" s="51">
        <v>4</v>
      </c>
      <c r="K232" s="37" t="s">
        <v>1243</v>
      </c>
      <c r="L232" s="50"/>
      <c r="M232" s="4" t="s">
        <v>7</v>
      </c>
      <c r="N232" s="25"/>
      <c r="O232" s="25"/>
      <c r="P232" s="25">
        <v>18.690000000000001</v>
      </c>
      <c r="Q232" s="25"/>
      <c r="R232" s="25"/>
      <c r="S232" s="25"/>
      <c r="T232" s="25">
        <v>5.5821257961783441</v>
      </c>
      <c r="U232" s="25">
        <v>24.272125796178344</v>
      </c>
      <c r="V232" s="30">
        <v>42.93942920137188</v>
      </c>
      <c r="W232" s="30">
        <v>143.76923076923077</v>
      </c>
      <c r="X232" s="31"/>
      <c r="Y232" s="31"/>
      <c r="Z232" s="31"/>
      <c r="AA232" s="31"/>
      <c r="AB232" s="31"/>
      <c r="AC232" s="31"/>
      <c r="AD232" s="31"/>
      <c r="AE232" s="32">
        <v>0</v>
      </c>
      <c r="AF232" s="1">
        <v>230</v>
      </c>
      <c r="AG232" s="4">
        <v>1980</v>
      </c>
      <c r="AH232" s="4"/>
      <c r="AI232" s="6">
        <v>130</v>
      </c>
      <c r="AJ232" s="38">
        <v>100</v>
      </c>
      <c r="AK232" s="3" t="s">
        <v>35</v>
      </c>
      <c r="AL232" s="1" t="s">
        <v>26</v>
      </c>
      <c r="AM232" s="37"/>
      <c r="AN232" s="37"/>
      <c r="AO232" s="37"/>
      <c r="AP232" s="37"/>
      <c r="AQ232" s="37">
        <f>AQ251*0.073</f>
        <v>20.875043499999997</v>
      </c>
      <c r="AR232" s="37">
        <f>AR251*0.073</f>
        <v>20.530373999999998</v>
      </c>
      <c r="AS232" s="37">
        <f>AS251*0.073</f>
        <v>24.250308</v>
      </c>
      <c r="AT232" s="37">
        <f>AT251*0.073</f>
        <v>20.096242999999998</v>
      </c>
      <c r="AU232" s="37"/>
      <c r="AV232" s="37"/>
      <c r="AW232" s="37"/>
      <c r="AX232" s="37"/>
      <c r="AY232" s="37"/>
      <c r="AZ232" s="37"/>
      <c r="BA232" s="37"/>
      <c r="BB232" s="37"/>
      <c r="BC232" s="37">
        <v>3.7594999999999996</v>
      </c>
      <c r="BD232" s="37">
        <v>4.0149999999999997</v>
      </c>
      <c r="BE232" s="37">
        <v>3.5039999999999996</v>
      </c>
      <c r="BF232" s="37">
        <v>3.3214999999999999</v>
      </c>
      <c r="BG232" s="42"/>
      <c r="BH232" s="42">
        <v>13.037799999999999</v>
      </c>
      <c r="BI232" s="42"/>
      <c r="BJ232" s="42"/>
      <c r="BK232" s="44">
        <v>13.037799999999999</v>
      </c>
      <c r="BL232" s="44">
        <v>3.65</v>
      </c>
      <c r="BM232" s="44">
        <f>+BK232+BL232</f>
        <v>16.687799999999999</v>
      </c>
      <c r="BN232" s="47">
        <v>97.297014925373134</v>
      </c>
      <c r="BO232" s="47">
        <v>27.238805970149254</v>
      </c>
      <c r="BP232" s="45">
        <v>124.53582089552238</v>
      </c>
      <c r="BQ232" s="9">
        <v>134</v>
      </c>
      <c r="BR232" s="4"/>
      <c r="BS232" s="4"/>
      <c r="BT232" s="4"/>
      <c r="BU232" s="4"/>
      <c r="BV232" s="4"/>
      <c r="BW232" s="4"/>
      <c r="BX232" s="4"/>
      <c r="BY232" s="9">
        <f>+INT(BK232*faktorji!$B$6)</f>
        <v>1629</v>
      </c>
      <c r="BZ232" s="9">
        <f>+INT(BL232*faktorji!$B$4)</f>
        <v>602</v>
      </c>
      <c r="CA232" s="3" t="s">
        <v>1313</v>
      </c>
      <c r="CB232" s="4">
        <v>0</v>
      </c>
      <c r="CC232" s="4">
        <v>0</v>
      </c>
      <c r="CD232" s="4">
        <v>0</v>
      </c>
      <c r="CE232" s="4">
        <v>0</v>
      </c>
      <c r="CF232" s="4">
        <v>0</v>
      </c>
      <c r="CG232" s="4">
        <v>1</v>
      </c>
      <c r="CH232" s="4">
        <v>1</v>
      </c>
      <c r="CI232" s="9">
        <f>+BQ232*(CB232*faktorji!$B$21+'MOL_tabela rezultatov'!CF9*faktorji!$B$23+'MOL_tabela rezultatov'!CH9*faktorji!$B$26)+faktorji!$B$27*CG232</f>
        <v>20211</v>
      </c>
      <c r="CJ232" s="9">
        <f>+(BZ232*CF232*faktorji!$B$18)+(CG232*faktorji!$B$17*('MOL_tabela rezultatov'!BY9+'MOL_tabela rezultatov'!BZ9))+('MOL_tabela rezultatov'!CH9*faktorji!$B$16*'MOL_tabela rezultatov'!BY9)+('MOL_tabela rezultatov'!CB9*faktorji!$B$12*'MOL_tabela rezultatov'!BY9)</f>
        <v>6562.9000000000005</v>
      </c>
      <c r="CK232" s="66">
        <f>+CI232/CJ232</f>
        <v>3.079583720611315</v>
      </c>
      <c r="CL232" s="3" t="str">
        <f>CONCATENATE(IF(CB232&gt;0,"kotlovnica/toplotna postaja, ",""),IF(CF232&gt;0,"razsvetljava, ",""),IF(CG232&gt;0,"energetsko upravljanje, ",""),IF(CH232&gt;0,"manjši investicijski in organizacijski ukrepi, ",""))</f>
        <v xml:space="preserve">energetsko upravljanje, manjši investicijski in organizacijski ukrepi, </v>
      </c>
      <c r="CM232" s="9">
        <f>+CJ232*0.9</f>
        <v>5906.6100000000006</v>
      </c>
      <c r="CN232" s="9">
        <f>+CJ232*0.9</f>
        <v>5906.6100000000006</v>
      </c>
      <c r="CO232" s="9">
        <f>+CJ232*0.9</f>
        <v>5906.6100000000006</v>
      </c>
      <c r="CP232" s="69">
        <f>+IF(CI232-SUM(CM232:CO232)&lt;0,0,CI232-SUM(CM232:CO232))</f>
        <v>2491.1699999999983</v>
      </c>
      <c r="CQ232" s="9">
        <f>+(BQ232*CE232*faktorji!$B$24)+(BQ232^0.5*CC232*4*4*0.66*faktorji!$B$22)+(BQ232^0.5*CD232*4*4*0.33*faktorji!$B$25)</f>
        <v>0</v>
      </c>
      <c r="CR232" s="3" t="str">
        <f t="shared" si="161"/>
        <v/>
      </c>
      <c r="CS232" s="9">
        <f>+BQ232*('MOL_tabela rezultatov'!CH232*faktorji!$B$26)+faktorji!$B$27*CG232</f>
        <v>18201</v>
      </c>
      <c r="CT232" s="3" t="str">
        <f t="shared" si="159"/>
        <v xml:space="preserve">energetsko upravljanje, manjši investicijski in organizacijski ukrepi, </v>
      </c>
      <c r="CU232" s="9">
        <f t="shared" si="190"/>
        <v>4550.25</v>
      </c>
      <c r="CV232" s="9">
        <f t="shared" ref="CV232:CX232" si="210">+CU232</f>
        <v>4550.25</v>
      </c>
      <c r="CW232" s="9">
        <f t="shared" si="210"/>
        <v>4550.25</v>
      </c>
      <c r="CX232" s="69">
        <f t="shared" si="210"/>
        <v>4550.25</v>
      </c>
    </row>
    <row r="233" spans="1:102" s="10" customFormat="1" ht="18" hidden="1" customHeight="1">
      <c r="A233" s="54" t="s">
        <v>1398</v>
      </c>
      <c r="B233" s="138" t="s">
        <v>34</v>
      </c>
      <c r="C233" s="56" t="s">
        <v>1367</v>
      </c>
      <c r="D233" s="56" t="s">
        <v>1368</v>
      </c>
      <c r="E233" s="51" t="s">
        <v>1167</v>
      </c>
      <c r="F233" s="51"/>
      <c r="G233" s="51">
        <v>3</v>
      </c>
      <c r="H233" s="51"/>
      <c r="I233" s="51"/>
      <c r="J233" s="51">
        <v>7</v>
      </c>
      <c r="K233" s="37" t="s">
        <v>1243</v>
      </c>
      <c r="L233" s="50"/>
      <c r="M233" s="4" t="s">
        <v>6</v>
      </c>
      <c r="N233" s="25"/>
      <c r="O233" s="25">
        <v>171.57</v>
      </c>
      <c r="P233" s="25"/>
      <c r="Q233" s="25"/>
      <c r="R233" s="25"/>
      <c r="S233" s="25"/>
      <c r="T233" s="25">
        <v>54.353000000000002</v>
      </c>
      <c r="U233" s="25">
        <v>225.923</v>
      </c>
      <c r="V233" s="30">
        <v>43.27468152866242</v>
      </c>
      <c r="W233" s="30">
        <v>136.60031847133757</v>
      </c>
      <c r="X233" s="31"/>
      <c r="Y233" s="31"/>
      <c r="Z233" s="31"/>
      <c r="AA233" s="31"/>
      <c r="AB233" s="31"/>
      <c r="AC233" s="31">
        <v>53.82</v>
      </c>
      <c r="AD233" s="31"/>
      <c r="AE233" s="32">
        <v>0</v>
      </c>
      <c r="AF233" s="1">
        <v>230</v>
      </c>
      <c r="AG233" s="4">
        <v>1980</v>
      </c>
      <c r="AH233" s="4" t="s">
        <v>94</v>
      </c>
      <c r="AI233" s="6">
        <v>1256</v>
      </c>
      <c r="AJ233" s="38">
        <v>90</v>
      </c>
      <c r="AK233" s="3"/>
      <c r="AL233" s="1" t="s">
        <v>95</v>
      </c>
      <c r="AM233" s="37"/>
      <c r="AN233" s="37"/>
      <c r="AO233" s="37"/>
      <c r="AP233" s="37"/>
      <c r="AQ233" s="37">
        <f>(18570*9.5)/1000</f>
        <v>176.41499999999999</v>
      </c>
      <c r="AR233" s="37">
        <f>(18710*9.5)/1000</f>
        <v>177.745</v>
      </c>
      <c r="AS233" s="37">
        <f>(17670*9.5)/1000</f>
        <v>167.86500000000001</v>
      </c>
      <c r="AT233" s="37">
        <f>(20250*9.5)/1000</f>
        <v>192.375</v>
      </c>
      <c r="AU233" s="37"/>
      <c r="AV233" s="37"/>
      <c r="AW233" s="37"/>
      <c r="AX233" s="37"/>
      <c r="AY233" s="37"/>
      <c r="AZ233" s="37"/>
      <c r="BA233" s="37"/>
      <c r="BB233" s="37"/>
      <c r="BC233" s="37">
        <v>51.5</v>
      </c>
      <c r="BD233" s="37">
        <v>55</v>
      </c>
      <c r="BE233" s="37">
        <v>48</v>
      </c>
      <c r="BF233" s="37">
        <v>45.5</v>
      </c>
      <c r="BG233" s="42"/>
      <c r="BH233" s="42">
        <v>178.6</v>
      </c>
      <c r="BI233" s="42"/>
      <c r="BJ233" s="42"/>
      <c r="BK233" s="44">
        <v>178.6</v>
      </c>
      <c r="BL233" s="44">
        <v>50</v>
      </c>
      <c r="BM233" s="44">
        <f>+BK233+BL233</f>
        <v>228.6</v>
      </c>
      <c r="BN233" s="47">
        <v>105.05882352941177</v>
      </c>
      <c r="BO233" s="47">
        <v>29.411764705882351</v>
      </c>
      <c r="BP233" s="45">
        <v>134.47058823529412</v>
      </c>
      <c r="BQ233" s="9">
        <v>1700</v>
      </c>
      <c r="BR233" s="4"/>
      <c r="BS233" s="4"/>
      <c r="BT233" s="4"/>
      <c r="BU233" s="4"/>
      <c r="BV233" s="4"/>
      <c r="BW233" s="4"/>
      <c r="BX233" s="4"/>
      <c r="BY233" s="9">
        <f>+INT(BK233*faktorji!$B$5)</f>
        <v>16967</v>
      </c>
      <c r="BZ233" s="9">
        <f>+INT(BL233*faktorji!$B$4)</f>
        <v>8250</v>
      </c>
      <c r="CA233" s="4"/>
      <c r="CB233" s="4">
        <v>0</v>
      </c>
      <c r="CC233" s="4">
        <v>0</v>
      </c>
      <c r="CD233" s="4">
        <v>0</v>
      </c>
      <c r="CE233" s="4">
        <v>0</v>
      </c>
      <c r="CF233" s="4">
        <v>0</v>
      </c>
      <c r="CG233" s="4">
        <v>1</v>
      </c>
      <c r="CH233" s="4">
        <v>1</v>
      </c>
      <c r="CI233" s="9">
        <f>+BQ233*(CB233*faktorji!$B$21+'MOL_tabela rezultatov'!CF29*faktorji!$B$23+'MOL_tabela rezultatov'!CH29*faktorji!$B$26)+faktorji!$B$27*CG233</f>
        <v>46050</v>
      </c>
      <c r="CJ233" s="9">
        <f>+(BZ233*CF233*faktorji!$B$18)+(CG233*faktorji!$B$17*('MOL_tabela rezultatov'!BY29+'MOL_tabela rezultatov'!BZ29))+('MOL_tabela rezultatov'!CH29*faktorji!$B$16*'MOL_tabela rezultatov'!BY29)+('MOL_tabela rezultatov'!CB29*faktorji!$B$12*'MOL_tabela rezultatov'!BY29)</f>
        <v>0</v>
      </c>
      <c r="CK233" s="66" t="e">
        <f>+CI233/CJ233</f>
        <v>#DIV/0!</v>
      </c>
      <c r="CL233" s="3" t="str">
        <f>CONCATENATE(IF(CB233&gt;0,"kotlovnica/toplotna postaja, ",""),IF(CF233&gt;0,"razsvetljava, ",""),IF(CG233&gt;0,"energetsko upravljanje, ",""),IF(CH233&gt;0,"manjši investicijski in organizacijski ukrepi, ",""))</f>
        <v xml:space="preserve">energetsko upravljanje, manjši investicijski in organizacijski ukrepi, </v>
      </c>
      <c r="CM233" s="9">
        <f>+CJ233*0.9</f>
        <v>0</v>
      </c>
      <c r="CN233" s="9">
        <f>+CJ233*0.9</f>
        <v>0</v>
      </c>
      <c r="CO233" s="9">
        <f>+CJ233*0.9</f>
        <v>0</v>
      </c>
      <c r="CP233" s="69">
        <f>+IF(CI233-SUM(CM233:CO233)&lt;0,0,CI233-SUM(CM233:CO233))</f>
        <v>46050</v>
      </c>
      <c r="CQ233" s="9">
        <f>+(BQ233*CE233*faktorji!$B$24)+(BQ233^0.5*CC233*4*4*0.66*faktorji!$B$22)+(BQ233^0.5*CD233*4*4*0.33*faktorji!$B$25)</f>
        <v>0</v>
      </c>
      <c r="CR233" s="3" t="str">
        <f t="shared" si="161"/>
        <v/>
      </c>
      <c r="CS233" s="9">
        <f>+BQ233*('MOL_tabela rezultatov'!CH233*faktorji!$B$26)+faktorji!$B$27*CG233</f>
        <v>20550</v>
      </c>
      <c r="CT233" s="3" t="str">
        <f t="shared" si="159"/>
        <v xml:space="preserve">energetsko upravljanje, manjši investicijski in organizacijski ukrepi, </v>
      </c>
      <c r="CU233" s="9">
        <f t="shared" si="190"/>
        <v>5137.5</v>
      </c>
      <c r="CV233" s="9">
        <f t="shared" ref="CV233:CX233" si="211">+CU233</f>
        <v>5137.5</v>
      </c>
      <c r="CW233" s="9">
        <f t="shared" si="211"/>
        <v>5137.5</v>
      </c>
      <c r="CX233" s="69">
        <f t="shared" si="211"/>
        <v>5137.5</v>
      </c>
    </row>
    <row r="234" spans="1:102" s="10" customFormat="1" ht="18" hidden="1" customHeight="1">
      <c r="A234" s="54" t="s">
        <v>1280</v>
      </c>
      <c r="B234" s="3" t="s">
        <v>266</v>
      </c>
      <c r="C234" s="56"/>
      <c r="D234" s="56"/>
      <c r="E234" s="51" t="s">
        <v>1173</v>
      </c>
      <c r="F234" s="51"/>
      <c r="G234" s="51">
        <v>2</v>
      </c>
      <c r="H234" s="51"/>
      <c r="I234" s="51"/>
      <c r="J234" s="51">
        <v>3</v>
      </c>
      <c r="K234" s="37" t="s">
        <v>1243</v>
      </c>
      <c r="L234" s="50"/>
      <c r="M234" s="4" t="s">
        <v>5</v>
      </c>
      <c r="N234" s="25">
        <v>313.68</v>
      </c>
      <c r="O234" s="25"/>
      <c r="P234" s="25"/>
      <c r="Q234" s="25"/>
      <c r="R234" s="25"/>
      <c r="S234" s="25"/>
      <c r="T234" s="25">
        <v>60.854358706244916</v>
      </c>
      <c r="U234" s="25">
        <v>374.53435870624492</v>
      </c>
      <c r="V234" s="30">
        <v>26.458416828802136</v>
      </c>
      <c r="W234" s="30">
        <v>136.38260869565218</v>
      </c>
      <c r="X234" s="33">
        <v>305.75</v>
      </c>
      <c r="Y234" s="31"/>
      <c r="Z234" s="31"/>
      <c r="AA234" s="31"/>
      <c r="AB234" s="31"/>
      <c r="AC234" s="31">
        <v>174.078</v>
      </c>
      <c r="AD234" s="31"/>
      <c r="AE234" s="32">
        <v>132.93478260869566</v>
      </c>
      <c r="AF234" s="1">
        <v>485</v>
      </c>
      <c r="AG234" s="4">
        <v>2000</v>
      </c>
      <c r="AH234" s="4"/>
      <c r="AI234" s="6">
        <v>2300</v>
      </c>
      <c r="AJ234" s="38">
        <v>100</v>
      </c>
      <c r="AK234" s="3"/>
      <c r="AL234" s="1" t="s">
        <v>250</v>
      </c>
      <c r="AM234" s="37">
        <v>270.88</v>
      </c>
      <c r="AN234" s="37">
        <v>299.89999999999998</v>
      </c>
      <c r="AO234" s="37">
        <v>261.39999999999998</v>
      </c>
      <c r="AP234" s="37">
        <v>263.98</v>
      </c>
      <c r="AQ234" s="37"/>
      <c r="AR234" s="37"/>
      <c r="AS234" s="37"/>
      <c r="AT234" s="37"/>
      <c r="AU234" s="37"/>
      <c r="AV234" s="37"/>
      <c r="AW234" s="37"/>
      <c r="AX234" s="37"/>
      <c r="AY234" s="37"/>
      <c r="AZ234" s="37"/>
      <c r="BA234" s="37"/>
      <c r="BB234" s="37"/>
      <c r="BC234" s="37">
        <v>125.1</v>
      </c>
      <c r="BD234" s="37">
        <v>126.1</v>
      </c>
      <c r="BE234" s="37">
        <v>128</v>
      </c>
      <c r="BF234" s="37">
        <v>127.8</v>
      </c>
      <c r="BG234" s="42">
        <v>274.03999999999996</v>
      </c>
      <c r="BH234" s="42"/>
      <c r="BI234" s="42"/>
      <c r="BJ234" s="42"/>
      <c r="BK234" s="44">
        <v>274.03999999999996</v>
      </c>
      <c r="BL234" s="44">
        <v>126.75</v>
      </c>
      <c r="BM234" s="44">
        <f>+BK234+BL234</f>
        <v>400.78999999999996</v>
      </c>
      <c r="BN234" s="47">
        <v>95.384615384615358</v>
      </c>
      <c r="BO234" s="47">
        <v>44.117647058823529</v>
      </c>
      <c r="BP234" s="45">
        <v>139.50226244343889</v>
      </c>
      <c r="BQ234" s="9">
        <v>2873</v>
      </c>
      <c r="BR234" s="4">
        <v>482.24</v>
      </c>
      <c r="BS234" s="4"/>
      <c r="BT234" s="4" t="s">
        <v>1148</v>
      </c>
      <c r="BU234" s="4" t="s">
        <v>136</v>
      </c>
      <c r="BV234" s="4" t="s">
        <v>871</v>
      </c>
      <c r="BW234" s="4"/>
      <c r="BX234" s="4"/>
      <c r="BY234" s="9">
        <f>+INT(BK234*faktorji!$B$3)</f>
        <v>17812</v>
      </c>
      <c r="BZ234" s="9">
        <f>+INT(BL234*faktorji!$B$4)</f>
        <v>20913</v>
      </c>
      <c r="CA234" s="72" t="s">
        <v>1299</v>
      </c>
      <c r="CB234" s="4">
        <v>0</v>
      </c>
      <c r="CC234" s="4">
        <v>0</v>
      </c>
      <c r="CD234" s="4">
        <v>0</v>
      </c>
      <c r="CE234" s="4">
        <v>0</v>
      </c>
      <c r="CF234" s="4">
        <v>1</v>
      </c>
      <c r="CG234" s="4">
        <v>1</v>
      </c>
      <c r="CH234" s="4">
        <v>1</v>
      </c>
      <c r="CI234" s="9">
        <f>+BQ234*(CB234*faktorji!$B$21+'MOL_tabela rezultatov'!CF102*faktorji!$B$23+'MOL_tabela rezultatov'!CH102*faktorji!$B$26)+faktorji!$B$27*CG234</f>
        <v>65404.5</v>
      </c>
      <c r="CJ234" s="9">
        <f>+(BZ234*CF234*faktorji!$B$18)+(CG234*faktorji!$B$17*('MOL_tabela rezultatov'!BY102+'MOL_tabela rezultatov'!BZ102))+('MOL_tabela rezultatov'!CH102*faktorji!$B$16*'MOL_tabela rezultatov'!BY102)+('MOL_tabela rezultatov'!CB102*faktorji!$B$12*'MOL_tabela rezultatov'!BY102)</f>
        <v>6557.95</v>
      </c>
      <c r="CK234" s="66">
        <f>+CI234/CJ234</f>
        <v>9.9733148316165874</v>
      </c>
      <c r="CL234" s="3" t="str">
        <f>CONCATENATE(IF(CB234&gt;0,"kotlovnica/toplotna postaja, ",""),IF(CF234&gt;0,"razsvetljava, ",""),IF(CG234&gt;0,"energetsko upravljanje, ",""),IF(CH234&gt;0,"manjši investicijski in organizacijski ukrepi, ",""))</f>
        <v xml:space="preserve">razsvetljava, energetsko upravljanje, manjši investicijski in organizacijski ukrepi, </v>
      </c>
      <c r="CM234" s="9">
        <f>+CJ234*0.9</f>
        <v>5902.1549999999997</v>
      </c>
      <c r="CN234" s="9">
        <f>+CJ234*0.9</f>
        <v>5902.1549999999997</v>
      </c>
      <c r="CO234" s="9">
        <f>+CJ234*0.9</f>
        <v>5902.1549999999997</v>
      </c>
      <c r="CP234" s="69">
        <f>+IF(CI234-SUM(CM234:CO234)&lt;0,0,CI234-SUM(CM234:CO234))</f>
        <v>47698.035000000003</v>
      </c>
      <c r="CQ234" s="9">
        <f>+(BQ234*CE234*faktorji!$B$24)+(BQ234^0.5*CC234*4*4*0.66*faktorji!$B$22)+(BQ234^0.5*CD234*4*4*0.33*faktorji!$B$25)</f>
        <v>0</v>
      </c>
      <c r="CR234" s="3" t="str">
        <f t="shared" si="161"/>
        <v/>
      </c>
      <c r="CS234" s="9">
        <f>+BQ234*('MOL_tabela rezultatov'!CH234*faktorji!$B$26)+faktorji!$B$27*CG234</f>
        <v>22309.5</v>
      </c>
      <c r="CT234" s="3" t="str">
        <f t="shared" si="159"/>
        <v xml:space="preserve">energetsko upravljanje, manjši investicijski in organizacijski ukrepi, </v>
      </c>
      <c r="CU234" s="9">
        <f t="shared" si="190"/>
        <v>5577.375</v>
      </c>
      <c r="CV234" s="9">
        <f t="shared" ref="CV234:CX234" si="212">+CU234</f>
        <v>5577.375</v>
      </c>
      <c r="CW234" s="9">
        <f t="shared" si="212"/>
        <v>5577.375</v>
      </c>
      <c r="CX234" s="69">
        <f t="shared" si="212"/>
        <v>5577.375</v>
      </c>
    </row>
    <row r="235" spans="1:102" s="10" customFormat="1" ht="18" hidden="1" customHeight="1">
      <c r="A235" s="53" t="s">
        <v>518</v>
      </c>
      <c r="B235" s="2" t="s">
        <v>519</v>
      </c>
      <c r="C235" s="57"/>
      <c r="D235" s="57"/>
      <c r="E235" s="51" t="s">
        <v>1175</v>
      </c>
      <c r="F235" s="51"/>
      <c r="G235" s="51">
        <v>3</v>
      </c>
      <c r="H235" s="51"/>
      <c r="I235" s="51"/>
      <c r="J235" s="51">
        <v>7</v>
      </c>
      <c r="K235" s="37" t="s">
        <v>1244</v>
      </c>
      <c r="L235" s="50"/>
      <c r="M235" s="4" t="s">
        <v>6</v>
      </c>
      <c r="N235" s="25"/>
      <c r="O235" s="25">
        <v>777.1</v>
      </c>
      <c r="P235" s="25"/>
      <c r="Q235" s="25"/>
      <c r="R235" s="25"/>
      <c r="S235" s="25"/>
      <c r="T235" s="25">
        <v>187.94</v>
      </c>
      <c r="U235" s="25">
        <v>965.04</v>
      </c>
      <c r="V235" s="30">
        <v>30.514693943822046</v>
      </c>
      <c r="W235" s="30">
        <v>126.17308004546193</v>
      </c>
      <c r="X235" s="31"/>
      <c r="Y235" s="31"/>
      <c r="Z235" s="31"/>
      <c r="AA235" s="31"/>
      <c r="AB235" s="31"/>
      <c r="AC235" s="31"/>
      <c r="AD235" s="31"/>
      <c r="AE235" s="32"/>
      <c r="AF235" s="16" t="s">
        <v>520</v>
      </c>
      <c r="AG235" s="3">
        <v>1987</v>
      </c>
      <c r="AH235" s="4"/>
      <c r="AI235" s="6">
        <v>6159</v>
      </c>
      <c r="AJ235" s="38">
        <v>100</v>
      </c>
      <c r="AK235" s="3"/>
      <c r="AL235" s="1" t="s">
        <v>521</v>
      </c>
      <c r="AM235" s="37"/>
      <c r="AN235" s="37"/>
      <c r="AO235" s="37"/>
      <c r="AP235" s="37"/>
      <c r="AQ235" s="37"/>
      <c r="AR235" s="37"/>
      <c r="AS235" s="37"/>
      <c r="AT235" s="37"/>
      <c r="AU235" s="37"/>
      <c r="AV235" s="37"/>
      <c r="AW235" s="37"/>
      <c r="AX235" s="37"/>
      <c r="AY235" s="37"/>
      <c r="AZ235" s="37"/>
      <c r="BA235" s="37"/>
      <c r="BB235" s="37"/>
      <c r="BC235" s="37"/>
      <c r="BD235" s="37"/>
      <c r="BE235" s="37"/>
      <c r="BF235" s="37"/>
      <c r="BG235" s="42"/>
      <c r="BH235" s="42">
        <v>680.3</v>
      </c>
      <c r="BI235" s="42"/>
      <c r="BJ235" s="42"/>
      <c r="BK235" s="44">
        <v>680.3</v>
      </c>
      <c r="BL235" s="44">
        <v>187.94</v>
      </c>
      <c r="BM235" s="44">
        <f>+BK235+BL235</f>
        <v>868.24</v>
      </c>
      <c r="BN235" s="47">
        <v>110.45624289657412</v>
      </c>
      <c r="BO235" s="47">
        <v>30.514693943822049</v>
      </c>
      <c r="BP235" s="45">
        <v>140.97093684039618</v>
      </c>
      <c r="BQ235" s="9">
        <v>6159</v>
      </c>
      <c r="BR235" s="4"/>
      <c r="BS235" s="4"/>
      <c r="BT235" s="4"/>
      <c r="BU235" s="4"/>
      <c r="BV235" s="4"/>
      <c r="BW235" s="4"/>
      <c r="BX235" s="4"/>
      <c r="BY235" s="9">
        <f>+INT(BK235*faktorji!$B$5)</f>
        <v>64628</v>
      </c>
      <c r="BZ235" s="9">
        <f>+INT(BL235*faktorji!$B$4)</f>
        <v>31010</v>
      </c>
      <c r="CA235" s="4"/>
      <c r="CB235" s="4">
        <v>1</v>
      </c>
      <c r="CC235" s="4">
        <v>0</v>
      </c>
      <c r="CD235" s="4">
        <v>0</v>
      </c>
      <c r="CE235" s="4">
        <v>0</v>
      </c>
      <c r="CF235" s="4">
        <v>0</v>
      </c>
      <c r="CG235" s="4">
        <v>1</v>
      </c>
      <c r="CH235" s="4">
        <v>1</v>
      </c>
      <c r="CI235" s="9">
        <f>+BQ235*(CB235*faktorji!$B$21+'MOL_tabela rezultatov'!CF199*faktorji!$B$23+'MOL_tabela rezultatov'!CH199*faktorji!$B$26)+faktorji!$B$27*CG235</f>
        <v>212008.5</v>
      </c>
      <c r="CJ235" s="9">
        <f>+(BZ235*CF235*faktorji!$B$18)+(CG235*faktorji!$B$17*('MOL_tabela rezultatov'!BY199+'MOL_tabela rezultatov'!BZ199))+('MOL_tabela rezultatov'!CH199*faktorji!$B$16*'MOL_tabela rezultatov'!BY199)+('MOL_tabela rezultatov'!CB199*faktorji!$B$12*'MOL_tabela rezultatov'!BY199)</f>
        <v>1200.5</v>
      </c>
      <c r="CK235" s="66">
        <f>+CI235/CJ235</f>
        <v>176.60016659725113</v>
      </c>
      <c r="CL235" s="3" t="str">
        <f>CONCATENATE(IF(CB235&gt;0,"kotlovnica/toplotna postaja, ",""),IF(CF235&gt;0,"razsvetljava, ",""),IF(CG235&gt;0,"energetsko upravljanje, ",""),IF(CH235&gt;0,"manjši investicijski in organizacijski ukrepi, ",""))</f>
        <v xml:space="preserve">kotlovnica/toplotna postaja, energetsko upravljanje, manjši investicijski in organizacijski ukrepi, </v>
      </c>
      <c r="CM235" s="9">
        <f>+CJ235*0.9</f>
        <v>1080.45</v>
      </c>
      <c r="CN235" s="9">
        <f>+CJ235*0.9</f>
        <v>1080.45</v>
      </c>
      <c r="CO235" s="9">
        <f>+CJ235*0.9</f>
        <v>1080.45</v>
      </c>
      <c r="CP235" s="69">
        <f>+IF(CI235-SUM(CM235:CO235)&lt;0,0,CI235-SUM(CM235:CO235))</f>
        <v>208767.15</v>
      </c>
      <c r="CQ235" s="9">
        <f>+(BQ235*CE235*faktorji!$B$24)+(BQ235^0.5*CC235*4*4*0.66*faktorji!$B$22)+(BQ235^0.5*CD235*4*4*0.33*faktorji!$B$25)</f>
        <v>0</v>
      </c>
      <c r="CR235" s="3" t="str">
        <f t="shared" si="161"/>
        <v/>
      </c>
      <c r="CS235" s="9">
        <f>+BQ235*('MOL_tabela rezultatov'!CH235*faktorji!$B$26)+faktorji!$B$27*CG235</f>
        <v>27238.5</v>
      </c>
      <c r="CT235" s="3" t="str">
        <f t="shared" si="159"/>
        <v xml:space="preserve">energetsko upravljanje, manjši investicijski in organizacijski ukrepi, </v>
      </c>
      <c r="CU235" s="9">
        <f t="shared" si="190"/>
        <v>6809.625</v>
      </c>
      <c r="CV235" s="9">
        <f t="shared" ref="CV235:CX235" si="213">+CU235</f>
        <v>6809.625</v>
      </c>
      <c r="CW235" s="9">
        <f t="shared" si="213"/>
        <v>6809.625</v>
      </c>
      <c r="CX235" s="69">
        <f t="shared" si="213"/>
        <v>6809.625</v>
      </c>
    </row>
    <row r="236" spans="1:102" s="10" customFormat="1" ht="18" hidden="1" customHeight="1">
      <c r="A236" s="54" t="s">
        <v>67</v>
      </c>
      <c r="B236" s="3" t="s">
        <v>68</v>
      </c>
      <c r="C236" s="56"/>
      <c r="D236" s="56"/>
      <c r="E236" s="51" t="s">
        <v>1168</v>
      </c>
      <c r="F236" s="51" t="s">
        <v>1255</v>
      </c>
      <c r="G236" s="51">
        <v>2</v>
      </c>
      <c r="H236" s="51"/>
      <c r="I236" s="51"/>
      <c r="J236" s="51">
        <v>4</v>
      </c>
      <c r="K236" s="37" t="s">
        <v>1244</v>
      </c>
      <c r="L236" s="50"/>
      <c r="M236" s="4" t="s">
        <v>5</v>
      </c>
      <c r="N236" s="25">
        <v>30.176937384477213</v>
      </c>
      <c r="O236" s="25"/>
      <c r="P236" s="25"/>
      <c r="Q236" s="25"/>
      <c r="R236" s="25"/>
      <c r="S236" s="25"/>
      <c r="T236" s="25">
        <v>15.29</v>
      </c>
      <c r="U236" s="25">
        <v>45.466937384477212</v>
      </c>
      <c r="V236" s="30">
        <v>85.418994413407816</v>
      </c>
      <c r="W236" s="30">
        <v>168.58624237138108</v>
      </c>
      <c r="X236" s="31"/>
      <c r="Y236" s="31"/>
      <c r="Z236" s="31"/>
      <c r="AA236" s="31"/>
      <c r="AB236" s="31"/>
      <c r="AC236" s="31">
        <v>18.37</v>
      </c>
      <c r="AD236" s="31"/>
      <c r="AE236" s="32">
        <v>0</v>
      </c>
      <c r="AF236" s="1"/>
      <c r="AG236" s="4"/>
      <c r="AH236" s="4" t="s">
        <v>69</v>
      </c>
      <c r="AI236" s="6">
        <v>179</v>
      </c>
      <c r="AJ236" s="38">
        <v>100</v>
      </c>
      <c r="AK236" s="3" t="s">
        <v>70</v>
      </c>
      <c r="AL236" s="1" t="s">
        <v>26</v>
      </c>
      <c r="AM236" s="37"/>
      <c r="AN236" s="37"/>
      <c r="AO236" s="37"/>
      <c r="AP236" s="37"/>
      <c r="AQ236" s="37"/>
      <c r="AR236" s="37"/>
      <c r="AS236" s="37"/>
      <c r="AT236" s="37"/>
      <c r="AU236" s="37"/>
      <c r="AV236" s="37"/>
      <c r="AW236" s="37"/>
      <c r="AX236" s="37"/>
      <c r="AY236" s="37"/>
      <c r="AZ236" s="37"/>
      <c r="BA236" s="37"/>
      <c r="BB236" s="37"/>
      <c r="BC236" s="37"/>
      <c r="BD236" s="37"/>
      <c r="BE236" s="37"/>
      <c r="BF236" s="37"/>
      <c r="BG236" s="42">
        <v>18.63</v>
      </c>
      <c r="BH236" s="42"/>
      <c r="BI236" s="42"/>
      <c r="BJ236" s="42"/>
      <c r="BK236" s="44">
        <v>18.63</v>
      </c>
      <c r="BL236" s="44">
        <v>15.25</v>
      </c>
      <c r="BM236" s="44">
        <f>+BK236+BL236</f>
        <v>33.879999999999995</v>
      </c>
      <c r="BN236" s="47">
        <v>104.07821229050279</v>
      </c>
      <c r="BO236" s="47">
        <v>85.19553072625699</v>
      </c>
      <c r="BP236" s="45">
        <v>189.27374301675974</v>
      </c>
      <c r="BQ236" s="9">
        <v>179</v>
      </c>
      <c r="BR236" s="4"/>
      <c r="BS236" s="4"/>
      <c r="BT236" s="4"/>
      <c r="BU236" s="4"/>
      <c r="BV236" s="4"/>
      <c r="BW236" s="4"/>
      <c r="BX236" s="4"/>
      <c r="BY236" s="9">
        <f>+INT(BK236*faktorji!$B$3)</f>
        <v>1210</v>
      </c>
      <c r="BZ236" s="9">
        <f>+INT(BL236*faktorji!$B$4)</f>
        <v>2516</v>
      </c>
      <c r="CA236" s="3" t="s">
        <v>1313</v>
      </c>
      <c r="CB236" s="4">
        <v>0</v>
      </c>
      <c r="CC236" s="4">
        <v>0</v>
      </c>
      <c r="CD236" s="4">
        <v>0</v>
      </c>
      <c r="CE236" s="4">
        <v>0</v>
      </c>
      <c r="CF236" s="4">
        <v>0</v>
      </c>
      <c r="CG236" s="4">
        <v>1</v>
      </c>
      <c r="CH236" s="4">
        <v>1</v>
      </c>
      <c r="CI236" s="9">
        <f>+BQ236*(CB236*faktorji!$B$21+'MOL_tabela rezultatov'!CF21*faktorji!$B$23+'MOL_tabela rezultatov'!CH21*faktorji!$B$26)+faktorji!$B$27*CG236</f>
        <v>18268.5</v>
      </c>
      <c r="CJ236" s="9">
        <f>+(BZ236*CF236*faktorji!$B$18)+(CG236*faktorji!$B$17*('MOL_tabela rezultatov'!BY21+'MOL_tabela rezultatov'!BZ21))+('MOL_tabela rezultatov'!CH21*faktorji!$B$16*'MOL_tabela rezultatov'!BY21)+('MOL_tabela rezultatov'!CB21*faktorji!$B$12*'MOL_tabela rezultatov'!BY21)</f>
        <v>1528.5</v>
      </c>
      <c r="CK236" s="66">
        <f>+CI236/CJ236</f>
        <v>11.951913640824337</v>
      </c>
      <c r="CL236" s="3" t="str">
        <f>CONCATENATE(IF(CB236&gt;0,"kotlovnica/toplotna postaja, ",""),IF(CF236&gt;0,"razsvetljava, ",""),IF(CG236&gt;0,"energetsko upravljanje, ",""),IF(CH236&gt;0,"manjši investicijski in organizacijski ukrepi, ",""))</f>
        <v xml:space="preserve">energetsko upravljanje, manjši investicijski in organizacijski ukrepi, </v>
      </c>
      <c r="CM236" s="9">
        <f>+CJ236*0.9</f>
        <v>1375.65</v>
      </c>
      <c r="CN236" s="9">
        <f>+CJ236*0.9</f>
        <v>1375.65</v>
      </c>
      <c r="CO236" s="9">
        <f>+CJ236*0.9</f>
        <v>1375.65</v>
      </c>
      <c r="CP236" s="69">
        <f>+IF(CI236-SUM(CM236:CO236)&lt;0,0,CI236-SUM(CM236:CO236))</f>
        <v>14141.55</v>
      </c>
      <c r="CQ236" s="9">
        <f>+(BQ236*CE236*faktorji!$B$24)+(BQ236^0.5*CC236*4*4*0.66*faktorji!$B$22)+(BQ236^0.5*CD236*4*4*0.33*faktorji!$B$25)</f>
        <v>0</v>
      </c>
      <c r="CR236" s="3" t="str">
        <f t="shared" si="161"/>
        <v/>
      </c>
      <c r="CS236" s="9">
        <f>+BQ236*('MOL_tabela rezultatov'!CH236*faktorji!$B$26)+faktorji!$B$27*CG236</f>
        <v>18268.5</v>
      </c>
      <c r="CT236" s="3" t="str">
        <f t="shared" si="159"/>
        <v xml:space="preserve">energetsko upravljanje, manjši investicijski in organizacijski ukrepi, </v>
      </c>
      <c r="CU236" s="9">
        <f t="shared" si="190"/>
        <v>4567.125</v>
      </c>
      <c r="CV236" s="9">
        <f t="shared" ref="CV236:CX236" si="214">+CU236</f>
        <v>4567.125</v>
      </c>
      <c r="CW236" s="9">
        <f t="shared" si="214"/>
        <v>4567.125</v>
      </c>
      <c r="CX236" s="69">
        <f t="shared" si="214"/>
        <v>4567.125</v>
      </c>
    </row>
    <row r="237" spans="1:102" s="10" customFormat="1" ht="18" hidden="1" customHeight="1">
      <c r="A237" s="54" t="s">
        <v>304</v>
      </c>
      <c r="B237" s="139" t="s">
        <v>165</v>
      </c>
      <c r="C237" s="56"/>
      <c r="D237" s="56"/>
      <c r="E237" s="51" t="s">
        <v>1174</v>
      </c>
      <c r="F237" s="51"/>
      <c r="G237" s="51">
        <v>4</v>
      </c>
      <c r="H237" s="51"/>
      <c r="I237" s="51"/>
      <c r="J237" s="51">
        <v>7</v>
      </c>
      <c r="K237" s="37" t="s">
        <v>1241</v>
      </c>
      <c r="L237" s="50"/>
      <c r="M237" s="4" t="s">
        <v>6</v>
      </c>
      <c r="N237" s="25"/>
      <c r="O237" s="25">
        <v>16.325670518048337</v>
      </c>
      <c r="P237" s="25"/>
      <c r="Q237" s="25"/>
      <c r="R237" s="25"/>
      <c r="S237" s="25"/>
      <c r="T237" s="25">
        <v>1.7</v>
      </c>
      <c r="U237" s="25">
        <v>18.025670518048337</v>
      </c>
      <c r="V237" s="30">
        <v>14.782608695652174</v>
      </c>
      <c r="W237" s="30">
        <v>141.96235233085511</v>
      </c>
      <c r="X237" s="31"/>
      <c r="Y237" s="31"/>
      <c r="Z237" s="31"/>
      <c r="AA237" s="31"/>
      <c r="AB237" s="31"/>
      <c r="AC237" s="31"/>
      <c r="AD237" s="31"/>
      <c r="AE237" s="32"/>
      <c r="AF237" s="1"/>
      <c r="AG237" s="4"/>
      <c r="AH237" s="4"/>
      <c r="AI237" s="6">
        <v>115</v>
      </c>
      <c r="AJ237" s="38"/>
      <c r="AK237" s="3"/>
      <c r="AL237" s="1" t="s">
        <v>305</v>
      </c>
      <c r="AM237" s="37"/>
      <c r="AN237" s="37"/>
      <c r="AO237" s="37"/>
      <c r="AP237" s="37"/>
      <c r="AQ237" s="37"/>
      <c r="AR237" s="37"/>
      <c r="AS237" s="37"/>
      <c r="AT237" s="37"/>
      <c r="AU237" s="37"/>
      <c r="AV237" s="37"/>
      <c r="AW237" s="37"/>
      <c r="AX237" s="37"/>
      <c r="AY237" s="37"/>
      <c r="AZ237" s="37"/>
      <c r="BA237" s="37"/>
      <c r="BB237" s="37"/>
      <c r="BC237" s="37"/>
      <c r="BD237" s="37"/>
      <c r="BE237" s="37"/>
      <c r="BF237" s="37"/>
      <c r="BG237" s="42"/>
      <c r="BH237" s="42">
        <v>14.961499999999999</v>
      </c>
      <c r="BI237" s="42"/>
      <c r="BJ237" s="42"/>
      <c r="BK237" s="44">
        <v>14.961499999999999</v>
      </c>
      <c r="BL237" s="44">
        <v>1.7</v>
      </c>
      <c r="BM237" s="44">
        <f>+BK237+BL237</f>
        <v>16.6615</v>
      </c>
      <c r="BN237" s="47">
        <v>130.1</v>
      </c>
      <c r="BO237" s="47">
        <v>14.782608695652174</v>
      </c>
      <c r="BP237" s="45">
        <v>144.88260869565218</v>
      </c>
      <c r="BQ237" s="6">
        <v>115</v>
      </c>
      <c r="BR237" s="4"/>
      <c r="BS237" s="4"/>
      <c r="BT237" s="4"/>
      <c r="BU237" s="4"/>
      <c r="BV237" s="4"/>
      <c r="BW237" s="4"/>
      <c r="BX237" s="4"/>
      <c r="BY237" s="9">
        <f>+INT(BK237*faktorji!$B$5)</f>
        <v>1421</v>
      </c>
      <c r="BZ237" s="9">
        <f>+INT(BL237*faktorji!$B$4)</f>
        <v>280</v>
      </c>
      <c r="CA237" s="4"/>
      <c r="CB237" s="4">
        <v>0</v>
      </c>
      <c r="CC237" s="4">
        <v>0</v>
      </c>
      <c r="CD237" s="4">
        <v>0</v>
      </c>
      <c r="CE237" s="4">
        <v>0</v>
      </c>
      <c r="CF237" s="4">
        <v>1</v>
      </c>
      <c r="CG237" s="4">
        <v>1</v>
      </c>
      <c r="CH237" s="4">
        <v>1</v>
      </c>
      <c r="CI237" s="9">
        <f>+BQ237*(CB237*faktorji!$B$21+'MOL_tabela rezultatov'!CF119*faktorji!$B$23+'MOL_tabela rezultatov'!CH119*faktorji!$B$26)+faktorji!$B$27*CG237</f>
        <v>18172.5</v>
      </c>
      <c r="CJ237" s="9">
        <f>+(BZ237*CF237*faktorji!$B$18)+(CG237*faktorji!$B$17*('MOL_tabela rezultatov'!BY119+'MOL_tabela rezultatov'!BZ119))+('MOL_tabela rezultatov'!CH119*faktorji!$B$16*'MOL_tabela rezultatov'!BY119)+('MOL_tabela rezultatov'!CB119*faktorji!$B$12*'MOL_tabela rezultatov'!BY119)</f>
        <v>7552.2000000000007</v>
      </c>
      <c r="CK237" s="66">
        <f>+CI237/CJ237</f>
        <v>2.4062524827202667</v>
      </c>
      <c r="CL237" s="3" t="str">
        <f>CONCATENATE(IF(CB237&gt;0,"kotlovnica/toplotna postaja, ",""),IF(CF237&gt;0,"razsvetljava, ",""),IF(CG237&gt;0,"energetsko upravljanje, ",""),IF(CH237&gt;0,"manjši investicijski in organizacijski ukrepi, ",""))</f>
        <v xml:space="preserve">razsvetljava, energetsko upravljanje, manjši investicijski in organizacijski ukrepi, </v>
      </c>
      <c r="CM237" s="9">
        <f>+CJ237*0.9</f>
        <v>6796.9800000000005</v>
      </c>
      <c r="CN237" s="9">
        <f>+CJ237*0.9</f>
        <v>6796.9800000000005</v>
      </c>
      <c r="CO237" s="9">
        <f>+CJ237*0.9</f>
        <v>6796.9800000000005</v>
      </c>
      <c r="CP237" s="69">
        <f>+IF(CI237-SUM(CM237:CO237)&lt;0,0,CI237-SUM(CM237:CO237))</f>
        <v>0</v>
      </c>
      <c r="CQ237" s="9">
        <f>+(BQ237*CE237*faktorji!$B$24)+(BQ237^0.5*CC237*4*4*0.66*faktorji!$B$22)+(BQ237^0.5*CD237*4*4*0.33*faktorji!$B$25)</f>
        <v>0</v>
      </c>
      <c r="CR237" s="3" t="str">
        <f t="shared" si="161"/>
        <v/>
      </c>
      <c r="CS237" s="9">
        <f>+BQ237*('MOL_tabela rezultatov'!CH237*faktorji!$B$26)+faktorji!$B$27*CG237</f>
        <v>18172.5</v>
      </c>
      <c r="CT237" s="3" t="str">
        <f t="shared" si="159"/>
        <v xml:space="preserve">energetsko upravljanje, manjši investicijski in organizacijski ukrepi, </v>
      </c>
      <c r="CU237" s="9">
        <f t="shared" si="190"/>
        <v>4543.125</v>
      </c>
      <c r="CV237" s="9">
        <f t="shared" ref="CV237:CX237" si="215">+CU237</f>
        <v>4543.125</v>
      </c>
      <c r="CW237" s="9">
        <f t="shared" si="215"/>
        <v>4543.125</v>
      </c>
      <c r="CX237" s="69">
        <f t="shared" si="215"/>
        <v>4543.125</v>
      </c>
    </row>
    <row r="238" spans="1:102" s="10" customFormat="1" ht="18" hidden="1" customHeight="1">
      <c r="A238" s="54" t="s">
        <v>1445</v>
      </c>
      <c r="B238" s="139" t="s">
        <v>165</v>
      </c>
      <c r="C238" s="56"/>
      <c r="D238" s="56"/>
      <c r="E238" s="51" t="s">
        <v>1169</v>
      </c>
      <c r="F238" s="51"/>
      <c r="G238" s="51">
        <v>4</v>
      </c>
      <c r="H238" s="51"/>
      <c r="I238" s="51"/>
      <c r="J238" s="51">
        <v>6</v>
      </c>
      <c r="K238" s="37" t="s">
        <v>1242</v>
      </c>
      <c r="L238" s="50"/>
      <c r="M238" s="4" t="s">
        <v>6</v>
      </c>
      <c r="N238" s="25"/>
      <c r="O238" s="25">
        <v>39.713954678362576</v>
      </c>
      <c r="P238" s="25"/>
      <c r="Q238" s="25"/>
      <c r="R238" s="25"/>
      <c r="S238" s="25"/>
      <c r="T238" s="25">
        <v>15.66062134502924</v>
      </c>
      <c r="U238" s="25">
        <v>55.374576023391818</v>
      </c>
      <c r="V238" s="30">
        <v>45.835964912280701</v>
      </c>
      <c r="W238" s="30">
        <v>116.23596491228071</v>
      </c>
      <c r="X238" s="31"/>
      <c r="Y238" s="31"/>
      <c r="Z238" s="31"/>
      <c r="AA238" s="31"/>
      <c r="AB238" s="31"/>
      <c r="AC238" s="31"/>
      <c r="AD238" s="31"/>
      <c r="AE238" s="32"/>
      <c r="AF238" s="1"/>
      <c r="AG238" s="4"/>
      <c r="AH238" s="4"/>
      <c r="AI238" s="12">
        <v>341.66666666666669</v>
      </c>
      <c r="AJ238" s="38"/>
      <c r="AK238" s="3"/>
      <c r="AL238" s="1"/>
      <c r="AM238" s="37"/>
      <c r="AN238" s="37"/>
      <c r="AO238" s="37"/>
      <c r="AP238" s="37"/>
      <c r="AQ238" s="37"/>
      <c r="AR238" s="37"/>
      <c r="AS238" s="37"/>
      <c r="AT238" s="37"/>
      <c r="AU238" s="37"/>
      <c r="AV238" s="37"/>
      <c r="AW238" s="37"/>
      <c r="AX238" s="37"/>
      <c r="AY238" s="37"/>
      <c r="AZ238" s="37"/>
      <c r="BA238" s="37"/>
      <c r="BB238" s="37"/>
      <c r="BC238" s="37"/>
      <c r="BD238" s="37"/>
      <c r="BE238" s="37"/>
      <c r="BF238" s="37"/>
      <c r="BG238" s="42"/>
      <c r="BH238" s="42">
        <v>74.88</v>
      </c>
      <c r="BI238" s="42"/>
      <c r="BJ238" s="42"/>
      <c r="BK238" s="44">
        <v>74.88</v>
      </c>
      <c r="BL238" s="44">
        <v>23.083199999999998</v>
      </c>
      <c r="BM238" s="44">
        <f>+BK238+BL238</f>
        <v>97.963200000000001</v>
      </c>
      <c r="BN238" s="47">
        <v>297.14285714285717</v>
      </c>
      <c r="BO238" s="47">
        <v>91.6</v>
      </c>
      <c r="BP238" s="45">
        <v>388.74285714285713</v>
      </c>
      <c r="BQ238" s="9">
        <v>252</v>
      </c>
      <c r="BR238" s="4"/>
      <c r="BS238" s="4"/>
      <c r="BT238" s="4"/>
      <c r="BU238" s="4"/>
      <c r="BV238" s="4" t="s">
        <v>871</v>
      </c>
      <c r="BW238" s="4"/>
      <c r="BX238" s="4"/>
      <c r="BY238" s="9">
        <f>+INT(BK238*faktorji!$B$5)</f>
        <v>7113</v>
      </c>
      <c r="BZ238" s="9">
        <f>+INT(BL238*faktorji!$B$4)</f>
        <v>3808</v>
      </c>
      <c r="CA238" s="4"/>
      <c r="CB238" s="4">
        <v>0</v>
      </c>
      <c r="CC238" s="4">
        <v>1</v>
      </c>
      <c r="CD238" s="4">
        <v>0</v>
      </c>
      <c r="CE238" s="4">
        <v>0</v>
      </c>
      <c r="CF238" s="4">
        <v>1</v>
      </c>
      <c r="CG238" s="4">
        <v>1</v>
      </c>
      <c r="CH238" s="4">
        <v>1</v>
      </c>
      <c r="CI238" s="9">
        <f>+BQ238*(CB238*faktorji!$B$21+'MOL_tabela rezultatov'!CF58*faktorji!$B$23+'MOL_tabela rezultatov'!CH58*faktorji!$B$26)+faktorji!$B$27*CG238</f>
        <v>18378</v>
      </c>
      <c r="CJ238" s="9">
        <f>+(BZ238*CF238*faktorji!$B$18)+(CG238*faktorji!$B$17*('MOL_tabela rezultatov'!BY58+'MOL_tabela rezultatov'!BZ58))+('MOL_tabela rezultatov'!CH58*faktorji!$B$16*'MOL_tabela rezultatov'!BY58)+('MOL_tabela rezultatov'!CB58*faktorji!$B$12*'MOL_tabela rezultatov'!BY58)</f>
        <v>1916.7999999999997</v>
      </c>
      <c r="CK238" s="66">
        <f>+CI238/CJ238</f>
        <v>9.5878547579298843</v>
      </c>
      <c r="CL238" s="3" t="str">
        <f>CONCATENATE(IF(CB238&gt;0,"kotlovnica/toplotna postaja, ",""),IF(CF238&gt;0,"razsvetljava, ",""),IF(CG238&gt;0,"energetsko upravljanje, ",""),IF(CH238&gt;0,"manjši investicijski in organizacijski ukrepi, ",""))</f>
        <v xml:space="preserve">razsvetljava, energetsko upravljanje, manjši investicijski in organizacijski ukrepi, </v>
      </c>
      <c r="CM238" s="9">
        <f>+CJ238*0.9</f>
        <v>1725.12</v>
      </c>
      <c r="CN238" s="9">
        <f>+CJ238*0.9</f>
        <v>1725.12</v>
      </c>
      <c r="CO238" s="9">
        <f>+CJ238*0.9</f>
        <v>1725.12</v>
      </c>
      <c r="CP238" s="69">
        <f>+IF(CI238-SUM(CM238:CO238)&lt;0,0,CI238-SUM(CM238:CO238))</f>
        <v>13202.64</v>
      </c>
      <c r="CQ238" s="9">
        <f>+(BQ238*CE238*faktorji!$B$24)+(BQ238^0.5*CC238*4*4*0.66*faktorji!$B$22)+(BQ238^0.5*CD238*4*4*0.33*faktorji!$B$25)</f>
        <v>11734.436214833673</v>
      </c>
      <c r="CR238" s="3" t="str">
        <f t="shared" si="161"/>
        <v xml:space="preserve">izolacija ovoja, </v>
      </c>
      <c r="CS238" s="9">
        <f>+BQ238*('MOL_tabela rezultatov'!CH238*faktorji!$B$26)+faktorji!$B$27*CG238</f>
        <v>18378</v>
      </c>
      <c r="CT238" s="3" t="str">
        <f t="shared" si="159"/>
        <v xml:space="preserve">energetsko upravljanje, manjši investicijski in organizacijski ukrepi, </v>
      </c>
      <c r="CU238" s="9">
        <f t="shared" si="190"/>
        <v>4594.5</v>
      </c>
      <c r="CV238" s="9">
        <f t="shared" ref="CV238:CX238" si="216">+CU238</f>
        <v>4594.5</v>
      </c>
      <c r="CW238" s="9">
        <f t="shared" si="216"/>
        <v>4594.5</v>
      </c>
      <c r="CX238" s="69">
        <f t="shared" si="216"/>
        <v>4594.5</v>
      </c>
    </row>
    <row r="239" spans="1:102" s="10" customFormat="1" ht="18" hidden="1" customHeight="1">
      <c r="A239" s="53" t="s">
        <v>847</v>
      </c>
      <c r="B239" s="2" t="s">
        <v>848</v>
      </c>
      <c r="C239" s="57"/>
      <c r="D239" s="57"/>
      <c r="E239" s="51" t="s">
        <v>1176</v>
      </c>
      <c r="F239" s="51"/>
      <c r="G239" s="51">
        <v>3</v>
      </c>
      <c r="H239" s="51"/>
      <c r="I239" s="51"/>
      <c r="J239" s="51">
        <v>7</v>
      </c>
      <c r="K239" s="37" t="s">
        <v>1243</v>
      </c>
      <c r="L239" s="50"/>
      <c r="M239" s="4" t="s">
        <v>6</v>
      </c>
      <c r="N239" s="25"/>
      <c r="O239" s="25">
        <v>29.9</v>
      </c>
      <c r="P239" s="25"/>
      <c r="Q239" s="25"/>
      <c r="R239" s="25"/>
      <c r="S239" s="25"/>
      <c r="T239" s="25">
        <v>22.36</v>
      </c>
      <c r="U239" s="25">
        <v>52.26</v>
      </c>
      <c r="V239" s="30">
        <v>55.621890547263682</v>
      </c>
      <c r="W239" s="30">
        <v>74.378109452736325</v>
      </c>
      <c r="X239" s="31"/>
      <c r="Y239" s="31"/>
      <c r="Z239" s="31"/>
      <c r="AA239" s="31"/>
      <c r="AB239" s="31"/>
      <c r="AC239" s="31"/>
      <c r="AD239" s="31"/>
      <c r="AE239" s="32"/>
      <c r="AF239" s="16" t="s">
        <v>810</v>
      </c>
      <c r="AG239" s="3">
        <v>2008</v>
      </c>
      <c r="AH239" s="4"/>
      <c r="AI239" s="6">
        <v>402</v>
      </c>
      <c r="AJ239" s="38">
        <v>100</v>
      </c>
      <c r="AK239" s="3"/>
      <c r="AL239" s="1" t="s">
        <v>811</v>
      </c>
      <c r="AM239" s="37"/>
      <c r="AN239" s="37"/>
      <c r="AO239" s="37"/>
      <c r="AP239" s="37"/>
      <c r="AQ239" s="37"/>
      <c r="AR239" s="37"/>
      <c r="AS239" s="37"/>
      <c r="AT239" s="37"/>
      <c r="AU239" s="37"/>
      <c r="AV239" s="37"/>
      <c r="AW239" s="37"/>
      <c r="AX239" s="37"/>
      <c r="AY239" s="37"/>
      <c r="AZ239" s="37"/>
      <c r="BA239" s="37"/>
      <c r="BB239" s="37"/>
      <c r="BC239" s="37">
        <v>15.23</v>
      </c>
      <c r="BD239" s="37">
        <v>17.989999999999998</v>
      </c>
      <c r="BE239" s="37">
        <v>17.2</v>
      </c>
      <c r="BF239" s="37">
        <v>17.5</v>
      </c>
      <c r="BG239" s="42"/>
      <c r="BH239" s="42">
        <v>36</v>
      </c>
      <c r="BI239" s="42"/>
      <c r="BJ239" s="42"/>
      <c r="BK239" s="44">
        <v>36</v>
      </c>
      <c r="BL239" s="44">
        <v>16.98</v>
      </c>
      <c r="BM239" s="44">
        <f>+BK239+BL239</f>
        <v>52.980000000000004</v>
      </c>
      <c r="BN239" s="47">
        <v>90</v>
      </c>
      <c r="BO239" s="47">
        <v>42.45</v>
      </c>
      <c r="BP239" s="45">
        <v>132.45000000000002</v>
      </c>
      <c r="BQ239" s="9">
        <v>400</v>
      </c>
      <c r="BR239" s="4">
        <v>45</v>
      </c>
      <c r="BS239" s="4">
        <v>2009</v>
      </c>
      <c r="BT239" s="4" t="s">
        <v>872</v>
      </c>
      <c r="BU239" s="4"/>
      <c r="BV239" s="4" t="s">
        <v>983</v>
      </c>
      <c r="BW239" s="4"/>
      <c r="BX239" s="4" t="s">
        <v>984</v>
      </c>
      <c r="BY239" s="9">
        <f>+INT(BK239*faktorji!$B$5)</f>
        <v>3420</v>
      </c>
      <c r="BZ239" s="9">
        <f>+INT(BL239*faktorji!$B$4)</f>
        <v>2801</v>
      </c>
      <c r="CA239" s="4"/>
      <c r="CB239" s="4">
        <v>0</v>
      </c>
      <c r="CC239" s="4">
        <v>0.5</v>
      </c>
      <c r="CD239" s="4">
        <v>0</v>
      </c>
      <c r="CE239" s="4">
        <v>0</v>
      </c>
      <c r="CF239" s="4">
        <v>1</v>
      </c>
      <c r="CG239" s="4">
        <v>1</v>
      </c>
      <c r="CH239" s="4">
        <v>1</v>
      </c>
      <c r="CI239" s="9">
        <f>+BQ239*(CB239*faktorji!$B$21+'MOL_tabela rezultatov'!CF295*faktorji!$B$23+'MOL_tabela rezultatov'!CH295*faktorji!$B$26)+faktorji!$B$27*CG239</f>
        <v>24600</v>
      </c>
      <c r="CJ239" s="9">
        <f>+(BZ239*CF239*faktorji!$B$18)+(CG239*faktorji!$B$17*('MOL_tabela rezultatov'!BY295+'MOL_tabela rezultatov'!BZ295))+('MOL_tabela rezultatov'!CH295*faktorji!$B$16*'MOL_tabela rezultatov'!BY295)+('MOL_tabela rezultatov'!CB295*faktorji!$B$12*'MOL_tabela rezultatov'!BY295)</f>
        <v>1044.125</v>
      </c>
      <c r="CK239" s="66">
        <f>+CI239/CJ239</f>
        <v>23.560397461989705</v>
      </c>
      <c r="CL239" s="3" t="str">
        <f>CONCATENATE(IF(CB239&gt;0,"kotlovnica/toplotna postaja, ",""),IF(CF239&gt;0,"razsvetljava, ",""),IF(CG239&gt;0,"energetsko upravljanje, ",""),IF(CH239&gt;0,"manjši investicijski in organizacijski ukrepi, ",""))</f>
        <v xml:space="preserve">razsvetljava, energetsko upravljanje, manjši investicijski in organizacijski ukrepi, </v>
      </c>
      <c r="CM239" s="9">
        <f>+CJ239*0.9</f>
        <v>939.71249999999998</v>
      </c>
      <c r="CN239" s="9">
        <f>+CJ239*0.9</f>
        <v>939.71249999999998</v>
      </c>
      <c r="CO239" s="9">
        <f>+CJ239*0.9</f>
        <v>939.71249999999998</v>
      </c>
      <c r="CP239" s="69">
        <f>+IF(CI239-SUM(CM239:CO239)&lt;0,0,CI239-SUM(CM239:CO239))</f>
        <v>21780.862499999999</v>
      </c>
      <c r="CQ239" s="9">
        <f>+(BQ239*CE239*faktorji!$B$24)+(BQ239^0.5*CC239*4*4*0.66*faktorji!$B$22)+(BQ239^0.5*CD239*4*4*0.33*faktorji!$B$25)</f>
        <v>7392.0000000000009</v>
      </c>
      <c r="CR239" s="3" t="str">
        <f t="shared" si="161"/>
        <v xml:space="preserve">izolacija ovoja, </v>
      </c>
      <c r="CS239" s="9">
        <f>+BQ239*('MOL_tabela rezultatov'!CH239*faktorji!$B$26)+faktorji!$B$27*CG239</f>
        <v>18600</v>
      </c>
      <c r="CT239" s="3" t="str">
        <f t="shared" si="159"/>
        <v xml:space="preserve">energetsko upravljanje, manjši investicijski in organizacijski ukrepi, </v>
      </c>
      <c r="CU239" s="9">
        <f t="shared" si="190"/>
        <v>4650</v>
      </c>
      <c r="CV239" s="9">
        <f t="shared" ref="CV239:CX239" si="217">+CU239</f>
        <v>4650</v>
      </c>
      <c r="CW239" s="9">
        <f t="shared" si="217"/>
        <v>4650</v>
      </c>
      <c r="CX239" s="69">
        <f t="shared" si="217"/>
        <v>4650</v>
      </c>
    </row>
    <row r="240" spans="1:102" s="10" customFormat="1" ht="18" customHeight="1">
      <c r="A240" s="117" t="s">
        <v>742</v>
      </c>
      <c r="B240" s="146" t="s">
        <v>743</v>
      </c>
      <c r="C240" s="57"/>
      <c r="D240" s="57"/>
      <c r="E240" s="51" t="s">
        <v>1176</v>
      </c>
      <c r="F240" s="51"/>
      <c r="G240" s="51">
        <v>2</v>
      </c>
      <c r="H240" s="51" t="s">
        <v>1257</v>
      </c>
      <c r="I240" s="51"/>
      <c r="J240" s="51">
        <v>2</v>
      </c>
      <c r="K240" s="37" t="s">
        <v>1243</v>
      </c>
      <c r="L240" s="50"/>
      <c r="M240" s="4" t="s">
        <v>5</v>
      </c>
      <c r="N240" s="28">
        <v>166</v>
      </c>
      <c r="O240" s="25"/>
      <c r="P240" s="25"/>
      <c r="Q240" s="25"/>
      <c r="R240" s="25"/>
      <c r="S240" s="25"/>
      <c r="T240" s="25">
        <v>20.67</v>
      </c>
      <c r="U240" s="25">
        <v>186.67000000000002</v>
      </c>
      <c r="V240" s="30">
        <v>16.62912308930008</v>
      </c>
      <c r="W240" s="30">
        <v>133.5478680611424</v>
      </c>
      <c r="X240" s="31"/>
      <c r="Y240" s="31"/>
      <c r="Z240" s="31"/>
      <c r="AA240" s="31"/>
      <c r="AB240" s="31"/>
      <c r="AC240" s="31"/>
      <c r="AD240" s="31"/>
      <c r="AE240" s="32"/>
      <c r="AF240" s="16"/>
      <c r="AG240" s="3"/>
      <c r="AH240" s="4"/>
      <c r="AI240" s="6">
        <v>1243</v>
      </c>
      <c r="AJ240" s="38">
        <v>100</v>
      </c>
      <c r="AK240" s="3"/>
      <c r="AL240" s="1" t="s">
        <v>744</v>
      </c>
      <c r="AM240" s="39">
        <f>155.25+47</f>
        <v>202.25</v>
      </c>
      <c r="AN240" s="39">
        <f>314.11+58.6</f>
        <v>372.71000000000004</v>
      </c>
      <c r="AO240" s="39">
        <f>384.77+15.2</f>
        <v>399.96999999999997</v>
      </c>
      <c r="AP240" s="39">
        <f>154.99+35.5</f>
        <v>190.49</v>
      </c>
      <c r="AQ240" s="37"/>
      <c r="AR240" s="37"/>
      <c r="AS240" s="37"/>
      <c r="AT240" s="37"/>
      <c r="AU240" s="37"/>
      <c r="AV240" s="37"/>
      <c r="AW240" s="37"/>
      <c r="AX240" s="37"/>
      <c r="AY240" s="37"/>
      <c r="AZ240" s="37"/>
      <c r="BA240" s="37"/>
      <c r="BB240" s="37"/>
      <c r="BC240" s="37">
        <v>61.9</v>
      </c>
      <c r="BD240" s="37">
        <v>62.7</v>
      </c>
      <c r="BE240" s="37">
        <v>63.5</v>
      </c>
      <c r="BF240" s="37">
        <v>55.6</v>
      </c>
      <c r="BG240" s="42">
        <v>291.35500000000002</v>
      </c>
      <c r="BH240" s="42"/>
      <c r="BI240" s="42"/>
      <c r="BJ240" s="42"/>
      <c r="BK240" s="44">
        <v>291.35500000000002</v>
      </c>
      <c r="BL240" s="44">
        <v>60.924999999999997</v>
      </c>
      <c r="BM240" s="44">
        <f>+BK240+BL240</f>
        <v>352.28000000000003</v>
      </c>
      <c r="BN240" s="47">
        <v>234.39662107803701</v>
      </c>
      <c r="BO240" s="47">
        <v>49.014481094127113</v>
      </c>
      <c r="BP240" s="45">
        <v>283.41110217216419</v>
      </c>
      <c r="BQ240" s="9">
        <v>1243</v>
      </c>
      <c r="BR240" s="4"/>
      <c r="BS240" s="4"/>
      <c r="BT240" s="4" t="s">
        <v>872</v>
      </c>
      <c r="BU240" s="4"/>
      <c r="BV240" s="4" t="s">
        <v>898</v>
      </c>
      <c r="BW240" s="4"/>
      <c r="BX240" s="4"/>
      <c r="BY240" s="9">
        <f>+INT(BK240*faktorji!$B$3)</f>
        <v>18938</v>
      </c>
      <c r="BZ240" s="9">
        <f>+INT(BL240*faktorji!$B$4)</f>
        <v>10052</v>
      </c>
      <c r="CA240" s="3" t="s">
        <v>1310</v>
      </c>
      <c r="CB240" s="4">
        <v>1</v>
      </c>
      <c r="CC240" s="4">
        <v>1</v>
      </c>
      <c r="CD240" s="4">
        <v>0</v>
      </c>
      <c r="CE240" s="4">
        <v>1</v>
      </c>
      <c r="CF240" s="4">
        <v>1</v>
      </c>
      <c r="CG240" s="4">
        <v>1</v>
      </c>
      <c r="CH240" s="4">
        <v>1</v>
      </c>
      <c r="CI240" s="9" t="e">
        <f>+BQ240*(CB240*faktorji!$B$21+'MOL_tabela rezultatov'!#REF!*faktorji!$B$23+'MOL_tabela rezultatov'!#REF!*faktorji!$B$26)+faktorji!$B$27*CG240</f>
        <v>#REF!</v>
      </c>
      <c r="CJ240" s="9" t="e">
        <f>+(BZ240*CF240*faktorji!$B$18)+(CG240*faktorji!$B$17*('MOL_tabela rezultatov'!#REF!+'MOL_tabela rezultatov'!#REF!))+('MOL_tabela rezultatov'!#REF!*faktorji!$B$16*'MOL_tabela rezultatov'!#REF!)+('MOL_tabela rezultatov'!#REF!*faktorji!$B$12*'MOL_tabela rezultatov'!#REF!)</f>
        <v>#REF!</v>
      </c>
      <c r="CK240" s="66" t="e">
        <f>+CI240/CJ240</f>
        <v>#REF!</v>
      </c>
      <c r="CL240" s="3" t="str">
        <f>CONCATENATE(IF(CB240&gt;0,"kotlovnica/toplotna postaja, ",""),IF(CF240&gt;0,"razsvetljava, ",""),IF(CG240&gt;0,"energetsko upravljanje, ",""),IF(CH240&gt;0,"manjši investicijski in organizacijski ukrepi, ",""))</f>
        <v xml:space="preserve">kotlovnica/toplotna postaja, razsvetljava, energetsko upravljanje, manjši investicijski in organizacijski ukrepi, </v>
      </c>
      <c r="CM240" s="9" t="e">
        <f>+CJ240*0.9</f>
        <v>#REF!</v>
      </c>
      <c r="CN240" s="9" t="e">
        <f>+CJ240*0.9</f>
        <v>#REF!</v>
      </c>
      <c r="CO240" s="9" t="e">
        <f>+CJ240*0.9</f>
        <v>#REF!</v>
      </c>
      <c r="CP240" s="69" t="e">
        <f>+IF(CI240-SUM(CM240:CO240)&lt;0,0,CI240-SUM(CM240:CO240))</f>
        <v>#REF!</v>
      </c>
      <c r="CQ240" s="9">
        <f>+(BQ240*CE240*faktorji!$B$24)+(BQ240^0.5*CC240*4*4*0.66*faktorji!$B$22)+(BQ240^0.5*CD240*4*4*0.33*faktorji!$B$25)</f>
        <v>50921.38683032812</v>
      </c>
      <c r="CR240" s="3" t="str">
        <f t="shared" si="161"/>
        <v xml:space="preserve">izolacija ovoja, izolacija podstrešja, </v>
      </c>
      <c r="CS240" s="9">
        <f>+BQ240*('MOL_tabela rezultatov'!CH240*faktorji!$B$26)+faktorji!$B$27*CG240</f>
        <v>19864.5</v>
      </c>
      <c r="CT240" s="3" t="str">
        <f t="shared" si="159"/>
        <v xml:space="preserve">energetsko upravljanje, manjši investicijski in organizacijski ukrepi, </v>
      </c>
      <c r="CU240" s="9">
        <f t="shared" si="190"/>
        <v>4966.125</v>
      </c>
      <c r="CV240" s="9">
        <f t="shared" ref="CV240:CX240" si="218">+CU240</f>
        <v>4966.125</v>
      </c>
      <c r="CW240" s="9">
        <f t="shared" si="218"/>
        <v>4966.125</v>
      </c>
      <c r="CX240" s="69">
        <f t="shared" si="218"/>
        <v>4966.125</v>
      </c>
    </row>
    <row r="241" spans="1:102" s="10" customFormat="1" ht="18" customHeight="1">
      <c r="A241" s="117" t="s">
        <v>747</v>
      </c>
      <c r="B241" s="146" t="s">
        <v>748</v>
      </c>
      <c r="C241" s="57"/>
      <c r="D241" s="57"/>
      <c r="E241" s="51" t="s">
        <v>1176</v>
      </c>
      <c r="F241" s="51"/>
      <c r="G241" s="51">
        <v>2</v>
      </c>
      <c r="H241" s="51" t="s">
        <v>1257</v>
      </c>
      <c r="I241" s="51"/>
      <c r="J241" s="51">
        <v>2</v>
      </c>
      <c r="K241" s="37" t="s">
        <v>1243</v>
      </c>
      <c r="L241" s="50"/>
      <c r="M241" s="4" t="s">
        <v>5</v>
      </c>
      <c r="N241" s="28">
        <v>264</v>
      </c>
      <c r="O241" s="25"/>
      <c r="P241" s="25"/>
      <c r="Q241" s="25"/>
      <c r="R241" s="25"/>
      <c r="S241" s="25"/>
      <c r="T241" s="25">
        <v>25.02</v>
      </c>
      <c r="U241" s="25">
        <v>289.02</v>
      </c>
      <c r="V241" s="30">
        <v>19.638932496075352</v>
      </c>
      <c r="W241" s="30">
        <v>207.22135007849295</v>
      </c>
      <c r="X241" s="31"/>
      <c r="Y241" s="31"/>
      <c r="Z241" s="31"/>
      <c r="AA241" s="31"/>
      <c r="AB241" s="31"/>
      <c r="AC241" s="31"/>
      <c r="AD241" s="31"/>
      <c r="AE241" s="32"/>
      <c r="AF241" s="16"/>
      <c r="AG241" s="3"/>
      <c r="AH241" s="4"/>
      <c r="AI241" s="6">
        <v>1274</v>
      </c>
      <c r="AJ241" s="38">
        <v>100</v>
      </c>
      <c r="AK241" s="3"/>
      <c r="AL241" s="1" t="s">
        <v>749</v>
      </c>
      <c r="AM241" s="39">
        <v>277.7</v>
      </c>
      <c r="AN241" s="39">
        <v>634.4</v>
      </c>
      <c r="AO241" s="39">
        <v>277.5</v>
      </c>
      <c r="AP241" s="39">
        <v>279.60000000000002</v>
      </c>
      <c r="AQ241" s="37"/>
      <c r="AR241" s="37"/>
      <c r="AS241" s="37"/>
      <c r="AT241" s="37"/>
      <c r="AU241" s="37"/>
      <c r="AV241" s="37"/>
      <c r="AW241" s="37"/>
      <c r="AX241" s="37"/>
      <c r="AY241" s="37"/>
      <c r="AZ241" s="37"/>
      <c r="BA241" s="37"/>
      <c r="BB241" s="37"/>
      <c r="BC241" s="37">
        <v>59.5</v>
      </c>
      <c r="BD241" s="37">
        <v>69.3</v>
      </c>
      <c r="BE241" s="37">
        <v>58.1</v>
      </c>
      <c r="BF241" s="37">
        <v>67.2</v>
      </c>
      <c r="BG241" s="42">
        <v>367.29999999999995</v>
      </c>
      <c r="BH241" s="42"/>
      <c r="BI241" s="42"/>
      <c r="BJ241" s="42"/>
      <c r="BK241" s="44">
        <v>367.29999999999995</v>
      </c>
      <c r="BL241" s="44">
        <v>63.525000000000006</v>
      </c>
      <c r="BM241" s="44">
        <f>+BK241+BL241</f>
        <v>430.82499999999993</v>
      </c>
      <c r="BN241" s="47">
        <v>288.30455259026684</v>
      </c>
      <c r="BO241" s="47">
        <v>49.862637362637365</v>
      </c>
      <c r="BP241" s="45">
        <v>338.16718995290421</v>
      </c>
      <c r="BQ241" s="9">
        <v>1274</v>
      </c>
      <c r="BR241" s="4"/>
      <c r="BS241" s="4"/>
      <c r="BT241" s="4" t="s">
        <v>872</v>
      </c>
      <c r="BU241" s="4"/>
      <c r="BV241" s="4" t="s">
        <v>898</v>
      </c>
      <c r="BW241" s="4"/>
      <c r="BX241" s="4"/>
      <c r="BY241" s="9">
        <f>+INT(BK241*faktorji!$B$3)</f>
        <v>23874</v>
      </c>
      <c r="BZ241" s="9">
        <f>+INT(BL241*faktorji!$B$4)</f>
        <v>10481</v>
      </c>
      <c r="CA241" s="3" t="s">
        <v>1310</v>
      </c>
      <c r="CB241" s="4">
        <v>1</v>
      </c>
      <c r="CC241" s="4">
        <v>1</v>
      </c>
      <c r="CD241" s="4">
        <v>0</v>
      </c>
      <c r="CE241" s="4">
        <v>1</v>
      </c>
      <c r="CF241" s="4">
        <v>1</v>
      </c>
      <c r="CG241" s="4">
        <v>1</v>
      </c>
      <c r="CH241" s="4">
        <v>1</v>
      </c>
      <c r="CI241" s="9">
        <f>+BQ241*(CB241*faktorji!$B$21+'MOL_tabela rezultatov'!CF273*faktorji!$B$23+'MOL_tabela rezultatov'!CH273*faktorji!$B$26)+faktorji!$B$27*CG241</f>
        <v>39021</v>
      </c>
      <c r="CJ241" s="9">
        <f>+(BZ241*CF241*faktorji!$B$18)+(CG241*faktorji!$B$17*('MOL_tabela rezultatov'!BY273+'MOL_tabela rezultatov'!BZ273))+('MOL_tabela rezultatov'!CH273*faktorji!$B$16*'MOL_tabela rezultatov'!BY273)+('MOL_tabela rezultatov'!CB273*faktorji!$B$12*'MOL_tabela rezultatov'!BY273)</f>
        <v>11387.85</v>
      </c>
      <c r="CK241" s="66">
        <f>+CI241/CJ241</f>
        <v>3.426546714261252</v>
      </c>
      <c r="CL241" s="3" t="str">
        <f>CONCATENATE(IF(CB241&gt;0,"kotlovnica/toplotna postaja, ",""),IF(CF241&gt;0,"razsvetljava, ",""),IF(CG241&gt;0,"energetsko upravljanje, ",""),IF(CH241&gt;0,"manjši investicijski in organizacijski ukrepi, ",""))</f>
        <v xml:space="preserve">kotlovnica/toplotna postaja, razsvetljava, energetsko upravljanje, manjši investicijski in organizacijski ukrepi, </v>
      </c>
      <c r="CM241" s="9">
        <f>+CJ241*0.9</f>
        <v>10249.065000000001</v>
      </c>
      <c r="CN241" s="9">
        <f>+CJ241*0.9</f>
        <v>10249.065000000001</v>
      </c>
      <c r="CO241" s="9">
        <f>+CJ241*0.9</f>
        <v>10249.065000000001</v>
      </c>
      <c r="CP241" s="69">
        <f>+IF(CI241-SUM(CM241:CO241)&lt;0,0,CI241-SUM(CM241:CO241))</f>
        <v>8273.8050000000003</v>
      </c>
      <c r="CQ241" s="9">
        <f>+(BQ241*CE241*faktorji!$B$24)+(BQ241^0.5*CC241*4*4*0.66*faktorji!$B$22)+(BQ241^0.5*CD241*4*4*0.33*faktorji!$B$25)</f>
        <v>51864.366571134509</v>
      </c>
      <c r="CR241" s="3" t="str">
        <f t="shared" si="161"/>
        <v xml:space="preserve">izolacija ovoja, izolacija podstrešja, </v>
      </c>
      <c r="CS241" s="9">
        <f>+BQ241*('MOL_tabela rezultatov'!CH241*faktorji!$B$26)+faktorji!$B$27*CG241</f>
        <v>19911</v>
      </c>
      <c r="CT241" s="3" t="str">
        <f t="shared" ref="CT241:CT300" si="219">CONCATENATE(IF(CG241&gt;0,"energetsko upravljanje, ",""),IF(CH241&gt;0,"manjši investicijski in organizacijski ukrepi, ",""))</f>
        <v xml:space="preserve">energetsko upravljanje, manjši investicijski in organizacijski ukrepi, </v>
      </c>
      <c r="CU241" s="9">
        <f t="shared" si="190"/>
        <v>4977.75</v>
      </c>
      <c r="CV241" s="9">
        <f t="shared" ref="CV241:CX241" si="220">+CU241</f>
        <v>4977.75</v>
      </c>
      <c r="CW241" s="9">
        <f t="shared" si="220"/>
        <v>4977.75</v>
      </c>
      <c r="CX241" s="69">
        <f t="shared" si="220"/>
        <v>4977.75</v>
      </c>
    </row>
    <row r="242" spans="1:102" s="10" customFormat="1" ht="18" hidden="1" customHeight="1">
      <c r="A242" s="54" t="s">
        <v>304</v>
      </c>
      <c r="B242" s="3" t="s">
        <v>306</v>
      </c>
      <c r="C242" s="56"/>
      <c r="D242" s="56"/>
      <c r="E242" s="51" t="s">
        <v>1174</v>
      </c>
      <c r="F242" s="51"/>
      <c r="G242" s="51">
        <v>4</v>
      </c>
      <c r="H242" s="51"/>
      <c r="I242" s="51"/>
      <c r="J242" s="51">
        <v>7</v>
      </c>
      <c r="K242" s="37" t="s">
        <v>1241</v>
      </c>
      <c r="L242" s="50"/>
      <c r="M242" s="4" t="s">
        <v>7</v>
      </c>
      <c r="N242" s="25"/>
      <c r="O242" s="25"/>
      <c r="P242" s="25">
        <v>117</v>
      </c>
      <c r="Q242" s="25"/>
      <c r="R242" s="25"/>
      <c r="S242" s="25"/>
      <c r="T242" s="25">
        <v>20.8</v>
      </c>
      <c r="U242" s="25"/>
      <c r="V242" s="30">
        <v>30.057803468208096</v>
      </c>
      <c r="W242" s="30"/>
      <c r="X242" s="31"/>
      <c r="Y242" s="31"/>
      <c r="Z242" s="31"/>
      <c r="AA242" s="31"/>
      <c r="AB242" s="31"/>
      <c r="AC242" s="31"/>
      <c r="AD242" s="31"/>
      <c r="AE242" s="32"/>
      <c r="AF242" s="1"/>
      <c r="AG242" s="4"/>
      <c r="AH242" s="4"/>
      <c r="AI242" s="6">
        <v>692</v>
      </c>
      <c r="AJ242" s="38"/>
      <c r="AK242" s="3"/>
      <c r="AL242" s="1" t="s">
        <v>307</v>
      </c>
      <c r="AM242" s="37"/>
      <c r="AN242" s="37"/>
      <c r="AO242" s="37"/>
      <c r="AP242" s="37"/>
      <c r="AQ242" s="37"/>
      <c r="AR242" s="37"/>
      <c r="AS242" s="37"/>
      <c r="AT242" s="37"/>
      <c r="AU242" s="37"/>
      <c r="AV242" s="37"/>
      <c r="AW242" s="37"/>
      <c r="AX242" s="37"/>
      <c r="AY242" s="37"/>
      <c r="AZ242" s="37"/>
      <c r="BA242" s="37"/>
      <c r="BB242" s="37"/>
      <c r="BC242" s="37"/>
      <c r="BD242" s="37"/>
      <c r="BE242" s="37"/>
      <c r="BF242" s="37"/>
      <c r="BG242" s="42"/>
      <c r="BH242" s="42"/>
      <c r="BI242" s="42">
        <v>117</v>
      </c>
      <c r="BJ242" s="42"/>
      <c r="BK242" s="44">
        <v>117</v>
      </c>
      <c r="BL242" s="44">
        <v>20.8</v>
      </c>
      <c r="BM242" s="44">
        <f>+BK242+BL242</f>
        <v>137.80000000000001</v>
      </c>
      <c r="BN242" s="47">
        <v>169.07514450867052</v>
      </c>
      <c r="BO242" s="47">
        <v>30.057803468208093</v>
      </c>
      <c r="BP242" s="45">
        <v>199.13294797687863</v>
      </c>
      <c r="BQ242" s="6">
        <v>692</v>
      </c>
      <c r="BR242" s="4"/>
      <c r="BS242" s="4"/>
      <c r="BT242" s="4"/>
      <c r="BU242" s="4"/>
      <c r="BV242" s="4"/>
      <c r="BW242" s="4"/>
      <c r="BX242" s="4"/>
      <c r="BY242" s="9">
        <f>+INT(BK242*faktorji!$B$6)</f>
        <v>14625</v>
      </c>
      <c r="BZ242" s="9">
        <f>+INT(BL242*faktorji!$B$4)</f>
        <v>3432</v>
      </c>
      <c r="CA242" s="4"/>
      <c r="CB242" s="4">
        <v>0</v>
      </c>
      <c r="CC242" s="4">
        <v>0</v>
      </c>
      <c r="CD242" s="4">
        <v>0</v>
      </c>
      <c r="CE242" s="4">
        <v>0</v>
      </c>
      <c r="CF242" s="4">
        <v>1</v>
      </c>
      <c r="CG242" s="4">
        <v>1</v>
      </c>
      <c r="CH242" s="4">
        <v>1</v>
      </c>
      <c r="CI242" s="9">
        <f>+BQ242*(CB242*faktorji!$B$21+'MOL_tabela rezultatov'!CF120*faktorji!$B$23+'MOL_tabela rezultatov'!CH120*faktorji!$B$26)+faktorji!$B$27*CG242</f>
        <v>29418</v>
      </c>
      <c r="CJ242" s="9">
        <f>+(BZ242*CF242*faktorji!$B$18)+(CG242*faktorji!$B$17*('MOL_tabela rezultatov'!BY120+'MOL_tabela rezultatov'!BZ120))+('MOL_tabela rezultatov'!CH120*faktorji!$B$16*'MOL_tabela rezultatov'!BY120)+('MOL_tabela rezultatov'!CB120*faktorji!$B$12*'MOL_tabela rezultatov'!BY120)</f>
        <v>869.6</v>
      </c>
      <c r="CK242" s="66">
        <f>+CI242/CJ242</f>
        <v>33.829346826126951</v>
      </c>
      <c r="CL242" s="3" t="str">
        <f>CONCATENATE(IF(CB242&gt;0,"kotlovnica/toplotna postaja, ",""),IF(CF242&gt;0,"razsvetljava, ",""),IF(CG242&gt;0,"energetsko upravljanje, ",""),IF(CH242&gt;0,"manjši investicijski in organizacijski ukrepi, ",""))</f>
        <v xml:space="preserve">razsvetljava, energetsko upravljanje, manjši investicijski in organizacijski ukrepi, </v>
      </c>
      <c r="CM242" s="9">
        <f>+CJ242*0.9</f>
        <v>782.64</v>
      </c>
      <c r="CN242" s="9">
        <f>+CJ242*0.9</f>
        <v>782.64</v>
      </c>
      <c r="CO242" s="9">
        <f>+CJ242*0.9</f>
        <v>782.64</v>
      </c>
      <c r="CP242" s="69">
        <f>+IF(CI242-SUM(CM242:CO242)&lt;0,0,CI242-SUM(CM242:CO242))</f>
        <v>27070.080000000002</v>
      </c>
      <c r="CQ242" s="9">
        <f>+(BQ242*CE242*faktorji!$B$24)+(BQ242^0.5*CC242*4*4*0.66*faktorji!$B$22)+(BQ242^0.5*CD242*4*4*0.33*faktorji!$B$25)</f>
        <v>0</v>
      </c>
      <c r="CR242" s="3" t="str">
        <f t="shared" ref="CR242:CR301" si="221">CONCATENATE(IF(CC242&gt;0,"izolacija ovoja, ",""),IF(CD242&gt;0,"stavbno pohištvo, ",""),IF(CE242&gt;0,"izolacija podstrešja, ",""))</f>
        <v/>
      </c>
      <c r="CS242" s="9">
        <f>+BQ242*('MOL_tabela rezultatov'!CH242*faktorji!$B$26)+faktorji!$B$27*CG242</f>
        <v>19038</v>
      </c>
      <c r="CT242" s="3" t="str">
        <f t="shared" si="219"/>
        <v xml:space="preserve">energetsko upravljanje, manjši investicijski in organizacijski ukrepi, </v>
      </c>
      <c r="CU242" s="9">
        <f t="shared" si="190"/>
        <v>4759.5</v>
      </c>
      <c r="CV242" s="9">
        <f t="shared" ref="CV242:CX242" si="222">+CU242</f>
        <v>4759.5</v>
      </c>
      <c r="CW242" s="9">
        <f t="shared" si="222"/>
        <v>4759.5</v>
      </c>
      <c r="CX242" s="69">
        <f t="shared" si="222"/>
        <v>4759.5</v>
      </c>
    </row>
    <row r="243" spans="1:102" s="10" customFormat="1" ht="18" customHeight="1">
      <c r="A243" s="117" t="s">
        <v>736</v>
      </c>
      <c r="B243" s="146" t="s">
        <v>737</v>
      </c>
      <c r="C243" s="57"/>
      <c r="D243" s="57"/>
      <c r="E243" s="51" t="s">
        <v>1176</v>
      </c>
      <c r="F243" s="51"/>
      <c r="G243" s="51">
        <v>3</v>
      </c>
      <c r="H243" s="51"/>
      <c r="I243" s="51"/>
      <c r="J243" s="51">
        <v>7</v>
      </c>
      <c r="K243" s="37" t="s">
        <v>1243</v>
      </c>
      <c r="L243" s="50"/>
      <c r="M243" s="4" t="s">
        <v>5</v>
      </c>
      <c r="N243" s="28">
        <v>231</v>
      </c>
      <c r="O243" s="25"/>
      <c r="P243" s="25"/>
      <c r="Q243" s="25"/>
      <c r="R243" s="25"/>
      <c r="S243" s="25"/>
      <c r="T243" s="25">
        <v>22.477</v>
      </c>
      <c r="U243" s="25">
        <v>253.477</v>
      </c>
      <c r="V243" s="30">
        <v>16.478739002932553</v>
      </c>
      <c r="W243" s="30">
        <v>169.35483870967741</v>
      </c>
      <c r="X243" s="31"/>
      <c r="Y243" s="31"/>
      <c r="Z243" s="31"/>
      <c r="AA243" s="31"/>
      <c r="AB243" s="31"/>
      <c r="AC243" s="31"/>
      <c r="AD243" s="31"/>
      <c r="AE243" s="32"/>
      <c r="AF243" s="16"/>
      <c r="AG243" s="3"/>
      <c r="AH243" s="4"/>
      <c r="AI243" s="6">
        <v>1364</v>
      </c>
      <c r="AJ243" s="38">
        <v>100</v>
      </c>
      <c r="AK243" s="3"/>
      <c r="AL243" s="1" t="s">
        <v>738</v>
      </c>
      <c r="AM243" s="39">
        <v>243.1</v>
      </c>
      <c r="AN243" s="39">
        <v>281.63</v>
      </c>
      <c r="AO243" s="39">
        <v>269.13</v>
      </c>
      <c r="AP243" s="39">
        <v>253.21</v>
      </c>
      <c r="AQ243" s="37"/>
      <c r="AR243" s="37"/>
      <c r="AS243" s="37"/>
      <c r="AT243" s="37"/>
      <c r="AU243" s="37"/>
      <c r="AV243" s="37"/>
      <c r="AW243" s="37"/>
      <c r="AX243" s="37"/>
      <c r="AY243" s="37"/>
      <c r="AZ243" s="37"/>
      <c r="BA243" s="37"/>
      <c r="BB243" s="37"/>
      <c r="BC243" s="37">
        <v>65.400000000000006</v>
      </c>
      <c r="BD243" s="37">
        <v>72.2</v>
      </c>
      <c r="BE243" s="37">
        <v>72.900000000000006</v>
      </c>
      <c r="BF243" s="37">
        <v>70.5</v>
      </c>
      <c r="BG243" s="42">
        <v>261.76749999999998</v>
      </c>
      <c r="BH243" s="42"/>
      <c r="BI243" s="42"/>
      <c r="BJ243" s="42"/>
      <c r="BK243" s="44">
        <v>261.76749999999998</v>
      </c>
      <c r="BL243" s="44">
        <v>70.25</v>
      </c>
      <c r="BM243" s="44">
        <f>+BK243+BL243</f>
        <v>332.01749999999998</v>
      </c>
      <c r="BN243" s="47">
        <v>191.91165689149557</v>
      </c>
      <c r="BO243" s="47">
        <v>51.502932551319645</v>
      </c>
      <c r="BP243" s="45">
        <v>243.41458944281524</v>
      </c>
      <c r="BQ243" s="9">
        <v>1364</v>
      </c>
      <c r="BR243" s="4"/>
      <c r="BS243" s="4"/>
      <c r="BT243" s="4" t="s">
        <v>872</v>
      </c>
      <c r="BU243" s="4"/>
      <c r="BV243" s="4" t="s">
        <v>871</v>
      </c>
      <c r="BW243" s="4"/>
      <c r="BX243" s="4"/>
      <c r="BY243" s="9">
        <f>+INT(BK243*faktorji!$B$3)</f>
        <v>17014</v>
      </c>
      <c r="BZ243" s="9">
        <f>+INT(BL243*faktorji!$B$4)</f>
        <v>11591</v>
      </c>
      <c r="CA243" s="4"/>
      <c r="CB243" s="4">
        <v>0</v>
      </c>
      <c r="CC243" s="4">
        <v>1</v>
      </c>
      <c r="CD243" s="4">
        <v>0</v>
      </c>
      <c r="CE243" s="4">
        <v>0</v>
      </c>
      <c r="CF243" s="4">
        <v>1</v>
      </c>
      <c r="CG243" s="4">
        <v>1</v>
      </c>
      <c r="CH243" s="4">
        <v>1</v>
      </c>
      <c r="CI243" s="9">
        <f>+BQ243*(CB243*faktorji!$B$21+'MOL_tabela rezultatov'!CF270*faktorji!$B$23+'MOL_tabela rezultatov'!CH270*faktorji!$B$26)+faktorji!$B$27*CG243</f>
        <v>40506</v>
      </c>
      <c r="CJ243" s="9">
        <f>+(BZ243*CF243*faktorji!$B$18)+(CG243*faktorji!$B$17*('MOL_tabela rezultatov'!BY270+'MOL_tabela rezultatov'!BZ270))+('MOL_tabela rezultatov'!CH270*faktorji!$B$16*'MOL_tabela rezultatov'!BY270)+('MOL_tabela rezultatov'!CB270*faktorji!$B$12*'MOL_tabela rezultatov'!BY270)</f>
        <v>4590.05</v>
      </c>
      <c r="CK243" s="66">
        <f>+CI243/CJ243</f>
        <v>8.8247404712366961</v>
      </c>
      <c r="CL243" s="3" t="str">
        <f>CONCATENATE(IF(CB243&gt;0,"kotlovnica/toplotna postaja, ",""),IF(CF243&gt;0,"razsvetljava, ",""),IF(CG243&gt;0,"energetsko upravljanje, ",""),IF(CH243&gt;0,"manjši investicijski in organizacijski ukrepi, ",""))</f>
        <v xml:space="preserve">razsvetljava, energetsko upravljanje, manjši investicijski in organizacijski ukrepi, </v>
      </c>
      <c r="CM243" s="9">
        <f>+CJ243*0.9</f>
        <v>4131.0450000000001</v>
      </c>
      <c r="CN243" s="9">
        <f>+CJ243*0.9</f>
        <v>4131.0450000000001</v>
      </c>
      <c r="CO243" s="9">
        <f>+CJ243*0.9</f>
        <v>4131.0450000000001</v>
      </c>
      <c r="CP243" s="69">
        <f>+IF(CI243-SUM(CM243:CO243)&lt;0,0,CI243-SUM(CM243:CO243))</f>
        <v>28112.864999999998</v>
      </c>
      <c r="CQ243" s="9">
        <f>+(BQ243*CE243*faktorji!$B$24)+(BQ243^0.5*CC243*4*4*0.66*faktorji!$B$22)+(BQ243^0.5*CD243*4*4*0.33*faktorji!$B$25)</f>
        <v>27300.408366176503</v>
      </c>
      <c r="CR243" s="3" t="str">
        <f t="shared" si="221"/>
        <v xml:space="preserve">izolacija ovoja, </v>
      </c>
      <c r="CS243" s="9">
        <f>+BQ243*('MOL_tabela rezultatov'!CH243*faktorji!$B$26)+faktorji!$B$27*CG243</f>
        <v>20046</v>
      </c>
      <c r="CT243" s="3" t="str">
        <f t="shared" si="219"/>
        <v xml:space="preserve">energetsko upravljanje, manjši investicijski in organizacijski ukrepi, </v>
      </c>
      <c r="CU243" s="9">
        <f t="shared" si="190"/>
        <v>5011.5</v>
      </c>
      <c r="CV243" s="9">
        <f t="shared" ref="CV243:CX243" si="223">+CU243</f>
        <v>5011.5</v>
      </c>
      <c r="CW243" s="9">
        <f t="shared" si="223"/>
        <v>5011.5</v>
      </c>
      <c r="CX243" s="69">
        <f t="shared" si="223"/>
        <v>5011.5</v>
      </c>
    </row>
    <row r="244" spans="1:102" s="10" customFormat="1" ht="18" hidden="1" customHeight="1">
      <c r="A244" s="54" t="s">
        <v>783</v>
      </c>
      <c r="B244" s="3" t="s">
        <v>784</v>
      </c>
      <c r="C244" s="56"/>
      <c r="D244" s="56"/>
      <c r="E244" s="51" t="s">
        <v>1176</v>
      </c>
      <c r="F244" s="51"/>
      <c r="G244" s="51">
        <v>3</v>
      </c>
      <c r="H244" s="51"/>
      <c r="I244" s="51"/>
      <c r="J244" s="51">
        <v>7</v>
      </c>
      <c r="K244" s="37" t="s">
        <v>1243</v>
      </c>
      <c r="L244" s="50"/>
      <c r="M244" s="4" t="s">
        <v>6</v>
      </c>
      <c r="N244" s="25"/>
      <c r="O244" s="25"/>
      <c r="P244" s="25"/>
      <c r="Q244" s="25"/>
      <c r="R244" s="25"/>
      <c r="S244" s="25"/>
      <c r="T244" s="25"/>
      <c r="U244" s="25"/>
      <c r="V244" s="30"/>
      <c r="W244" s="30"/>
      <c r="X244" s="31"/>
      <c r="Y244" s="31"/>
      <c r="Z244" s="31"/>
      <c r="AA244" s="31"/>
      <c r="AB244" s="31"/>
      <c r="AC244" s="31"/>
      <c r="AD244" s="31"/>
      <c r="AE244" s="32"/>
      <c r="AF244" s="16" t="s">
        <v>468</v>
      </c>
      <c r="AG244" s="3"/>
      <c r="AH244" s="4"/>
      <c r="AI244" s="6"/>
      <c r="AJ244" s="38"/>
      <c r="AK244" s="3"/>
      <c r="AL244" s="1" t="s">
        <v>785</v>
      </c>
      <c r="AM244" s="37"/>
      <c r="AN244" s="37"/>
      <c r="AO244" s="37"/>
      <c r="AP244" s="37"/>
      <c r="AQ244" s="37"/>
      <c r="AR244" s="37"/>
      <c r="AS244" s="37"/>
      <c r="AT244" s="37"/>
      <c r="AU244" s="37"/>
      <c r="AV244" s="37"/>
      <c r="AW244" s="37"/>
      <c r="AX244" s="37"/>
      <c r="AY244" s="37"/>
      <c r="AZ244" s="37"/>
      <c r="BA244" s="37"/>
      <c r="BB244" s="37"/>
      <c r="BC244" s="37">
        <v>14.4</v>
      </c>
      <c r="BD244" s="37">
        <v>14.4</v>
      </c>
      <c r="BE244" s="37">
        <v>14.4</v>
      </c>
      <c r="BF244" s="37">
        <v>14.4</v>
      </c>
      <c r="BG244" s="42">
        <v>20.66</v>
      </c>
      <c r="BH244" s="42">
        <v>12.1</v>
      </c>
      <c r="BI244" s="42"/>
      <c r="BJ244" s="42"/>
      <c r="BK244" s="44">
        <v>32.76</v>
      </c>
      <c r="BL244" s="44">
        <v>14.4</v>
      </c>
      <c r="BM244" s="44">
        <f>+BK244+BL244</f>
        <v>47.16</v>
      </c>
      <c r="BN244" s="47">
        <v>80.294117647058812</v>
      </c>
      <c r="BO244" s="47">
        <v>35.294117647058826</v>
      </c>
      <c r="BP244" s="45">
        <v>115.58823529411765</v>
      </c>
      <c r="BQ244" s="9">
        <v>408</v>
      </c>
      <c r="BR244" s="4">
        <v>32</v>
      </c>
      <c r="BS244" s="4"/>
      <c r="BT244" s="4" t="s">
        <v>872</v>
      </c>
      <c r="BU244" s="4" t="s">
        <v>948</v>
      </c>
      <c r="BV244" s="4" t="s">
        <v>898</v>
      </c>
      <c r="BW244" s="4" t="s">
        <v>954</v>
      </c>
      <c r="BX244" s="4"/>
      <c r="BY244" s="9">
        <f>+INT(BK244*faktorji!$B$5)</f>
        <v>3112</v>
      </c>
      <c r="BZ244" s="9">
        <f>+INT(BL244*faktorji!$B$4)</f>
        <v>2376</v>
      </c>
      <c r="CA244" s="4"/>
      <c r="CB244" s="4">
        <v>0</v>
      </c>
      <c r="CC244" s="4">
        <v>1</v>
      </c>
      <c r="CD244" s="4">
        <v>0</v>
      </c>
      <c r="CE244" s="4">
        <v>0</v>
      </c>
      <c r="CF244" s="4">
        <v>1</v>
      </c>
      <c r="CG244" s="4">
        <v>1</v>
      </c>
      <c r="CH244" s="4">
        <v>1</v>
      </c>
      <c r="CI244" s="9">
        <f>+BQ244*(CB244*faktorji!$B$21+'MOL_tabela rezultatov'!CF284*faktorji!$B$23+'MOL_tabela rezultatov'!CH284*faktorji!$B$26)+faktorji!$B$27*CG244</f>
        <v>24732</v>
      </c>
      <c r="CJ244" s="9">
        <f>+(BZ244*CF244*faktorji!$B$18)+(CG244*faktorji!$B$17*('MOL_tabela rezultatov'!BY284+'MOL_tabela rezultatov'!BZ284))+('MOL_tabela rezultatov'!CH284*faktorji!$B$16*'MOL_tabela rezultatov'!BY284)+('MOL_tabela rezultatov'!CB284*faktorji!$B$12*'MOL_tabela rezultatov'!BY284)</f>
        <v>4433.4000000000005</v>
      </c>
      <c r="CK244" s="66">
        <f>+CI244/CJ244</f>
        <v>5.5785627283800236</v>
      </c>
      <c r="CL244" s="3" t="str">
        <f>CONCATENATE(IF(CB244&gt;0,"kotlovnica/toplotna postaja, ",""),IF(CF244&gt;0,"razsvetljava, ",""),IF(CG244&gt;0,"energetsko upravljanje, ",""),IF(CH244&gt;0,"manjši investicijski in organizacijski ukrepi, ",""))</f>
        <v xml:space="preserve">razsvetljava, energetsko upravljanje, manjši investicijski in organizacijski ukrepi, </v>
      </c>
      <c r="CM244" s="9">
        <f>+CJ244*0.9</f>
        <v>3990.0600000000004</v>
      </c>
      <c r="CN244" s="9">
        <f>+CJ244*0.9</f>
        <v>3990.0600000000004</v>
      </c>
      <c r="CO244" s="9">
        <f>+CJ244*0.9</f>
        <v>3990.0600000000004</v>
      </c>
      <c r="CP244" s="69">
        <f>+IF(CI244-SUM(CM244:CO244)&lt;0,0,CI244-SUM(CM244:CO244))</f>
        <v>12761.82</v>
      </c>
      <c r="CQ244" s="9">
        <f>+(BQ244*CE244*faktorji!$B$24)+(BQ244^0.5*CC244*4*4*0.66*faktorji!$B$22)+(BQ244^0.5*CD244*4*4*0.33*faktorji!$B$25)</f>
        <v>14931.108100874497</v>
      </c>
      <c r="CR244" s="3" t="str">
        <f t="shared" si="221"/>
        <v xml:space="preserve">izolacija ovoja, </v>
      </c>
      <c r="CS244" s="9">
        <f>+BQ244*('MOL_tabela rezultatov'!CH244*faktorji!$B$26)+faktorji!$B$27*CG244</f>
        <v>18612</v>
      </c>
      <c r="CT244" s="3" t="str">
        <f t="shared" si="219"/>
        <v xml:space="preserve">energetsko upravljanje, manjši investicijski in organizacijski ukrepi, </v>
      </c>
      <c r="CU244" s="9">
        <f t="shared" si="190"/>
        <v>4653</v>
      </c>
      <c r="CV244" s="9">
        <f t="shared" ref="CV244:CX244" si="224">+CU244</f>
        <v>4653</v>
      </c>
      <c r="CW244" s="9">
        <f t="shared" si="224"/>
        <v>4653</v>
      </c>
      <c r="CX244" s="69">
        <f t="shared" si="224"/>
        <v>4653</v>
      </c>
    </row>
    <row r="245" spans="1:102" s="10" customFormat="1" ht="18" hidden="1" customHeight="1">
      <c r="A245" s="53" t="s">
        <v>1391</v>
      </c>
      <c r="B245" s="3" t="s">
        <v>112</v>
      </c>
      <c r="C245" s="56" t="s">
        <v>1381</v>
      </c>
      <c r="D245" s="56" t="s">
        <v>1382</v>
      </c>
      <c r="E245" s="51" t="s">
        <v>1167</v>
      </c>
      <c r="F245" s="51"/>
      <c r="G245" s="51">
        <v>2</v>
      </c>
      <c r="H245" s="51"/>
      <c r="I245" s="51"/>
      <c r="J245" s="51">
        <v>4</v>
      </c>
      <c r="K245" s="37" t="s">
        <v>1243</v>
      </c>
      <c r="L245" s="50"/>
      <c r="M245" s="4" t="s">
        <v>6</v>
      </c>
      <c r="N245" s="25"/>
      <c r="O245" s="25">
        <v>266</v>
      </c>
      <c r="P245" s="25"/>
      <c r="Q245" s="25"/>
      <c r="R245" s="25"/>
      <c r="S245" s="25"/>
      <c r="T245" s="25">
        <v>102.83</v>
      </c>
      <c r="U245" s="25">
        <v>368.83</v>
      </c>
      <c r="V245" s="30">
        <v>61.72268907563025</v>
      </c>
      <c r="W245" s="30">
        <v>159.66386554621849</v>
      </c>
      <c r="X245" s="31"/>
      <c r="Y245" s="31"/>
      <c r="Z245" s="31"/>
      <c r="AA245" s="31"/>
      <c r="AB245" s="31"/>
      <c r="AC245" s="31">
        <v>101.51</v>
      </c>
      <c r="AD245" s="31"/>
      <c r="AE245" s="32">
        <v>0</v>
      </c>
      <c r="AF245" s="1">
        <v>408</v>
      </c>
      <c r="AG245" s="4">
        <v>1992</v>
      </c>
      <c r="AH245" s="4" t="s">
        <v>113</v>
      </c>
      <c r="AI245" s="6">
        <v>1666</v>
      </c>
      <c r="AJ245" s="38">
        <v>100</v>
      </c>
      <c r="AK245" s="3"/>
      <c r="AL245" s="1" t="s">
        <v>95</v>
      </c>
      <c r="AM245" s="37"/>
      <c r="AN245" s="37"/>
      <c r="AO245" s="37"/>
      <c r="AP245" s="37"/>
      <c r="AQ245" s="37">
        <f>(26890*9.5)/1000</f>
        <v>255.45500000000001</v>
      </c>
      <c r="AR245" s="37">
        <f>(27676*9.5)/1000</f>
        <v>262.92200000000003</v>
      </c>
      <c r="AS245" s="37">
        <f>(27008*9.5)/1000</f>
        <v>256.57600000000002</v>
      </c>
      <c r="AT245" s="37">
        <f>(25798*9.5)/1000</f>
        <v>245.08099999999999</v>
      </c>
      <c r="AU245" s="37"/>
      <c r="AV245" s="37"/>
      <c r="AW245" s="37"/>
      <c r="AX245" s="37"/>
      <c r="AY245" s="37"/>
      <c r="AZ245" s="37"/>
      <c r="BA245" s="37"/>
      <c r="BB245" s="37"/>
      <c r="BC245" s="37">
        <v>105.3</v>
      </c>
      <c r="BD245" s="37">
        <v>106.4</v>
      </c>
      <c r="BE245" s="37">
        <v>113.9</v>
      </c>
      <c r="BF245" s="37">
        <v>117.8</v>
      </c>
      <c r="BG245" s="42"/>
      <c r="BH245" s="42">
        <v>255.00850000000003</v>
      </c>
      <c r="BI245" s="42"/>
      <c r="BJ245" s="42"/>
      <c r="BK245" s="44">
        <v>255.00850000000003</v>
      </c>
      <c r="BL245" s="44">
        <v>110.85000000000001</v>
      </c>
      <c r="BM245" s="44">
        <f>+BK245+BL245</f>
        <v>365.85850000000005</v>
      </c>
      <c r="BN245" s="47">
        <v>152.97450509898022</v>
      </c>
      <c r="BO245" s="47">
        <v>66.49670065986804</v>
      </c>
      <c r="BP245" s="45">
        <v>219.47120575884827</v>
      </c>
      <c r="BQ245" s="9">
        <v>1667</v>
      </c>
      <c r="BR245" s="4">
        <v>408</v>
      </c>
      <c r="BS245" s="4">
        <v>1992</v>
      </c>
      <c r="BT245" s="1" t="s">
        <v>872</v>
      </c>
      <c r="BU245" s="4" t="s">
        <v>1080</v>
      </c>
      <c r="BV245" s="4" t="s">
        <v>1098</v>
      </c>
      <c r="BW245" s="4"/>
      <c r="BX245" s="4"/>
      <c r="BY245" s="9">
        <f>+INT(BK245*faktorji!$B$5)</f>
        <v>24225</v>
      </c>
      <c r="BZ245" s="9">
        <f>+INT(BL245*faktorji!$B$4)</f>
        <v>18290</v>
      </c>
      <c r="CA245" s="72" t="s">
        <v>1297</v>
      </c>
      <c r="CB245" s="4">
        <v>1</v>
      </c>
      <c r="CC245" s="4">
        <v>0</v>
      </c>
      <c r="CD245" s="4">
        <v>0</v>
      </c>
      <c r="CE245" s="4">
        <v>0</v>
      </c>
      <c r="CF245" s="4">
        <v>1</v>
      </c>
      <c r="CG245" s="4">
        <v>1</v>
      </c>
      <c r="CH245" s="4">
        <v>1</v>
      </c>
      <c r="CI245" s="9">
        <f>+BQ245*(CB245*faktorji!$B$21+'MOL_tabela rezultatov'!CF39*faktorji!$B$23+'MOL_tabela rezultatov'!CH39*faktorji!$B$26)+faktorji!$B$27*CG245</f>
        <v>43005</v>
      </c>
      <c r="CJ245" s="9">
        <f>+(BZ245*CF245*faktorji!$B$18)+(CG245*faktorji!$B$17*('MOL_tabela rezultatov'!BY39+'MOL_tabela rezultatov'!BZ39))+('MOL_tabela rezultatov'!CH39*faktorji!$B$16*'MOL_tabela rezultatov'!BY39)+('MOL_tabela rezultatov'!CB39*faktorji!$B$12*'MOL_tabela rezultatov'!BY39)</f>
        <v>5411.7000000000007</v>
      </c>
      <c r="CK245" s="66">
        <f>+CI245/CJ245</f>
        <v>7.9466711015022993</v>
      </c>
      <c r="CL245" s="3" t="str">
        <f>CONCATENATE(IF(CB245&gt;0,"kotlovnica/toplotna postaja, ",""),IF(CF245&gt;0,"razsvetljava, ",""),IF(CG245&gt;0,"energetsko upravljanje, ",""),IF(CH245&gt;0,"manjši investicijski in organizacijski ukrepi, ",""))</f>
        <v xml:space="preserve">kotlovnica/toplotna postaja, razsvetljava, energetsko upravljanje, manjši investicijski in organizacijski ukrepi, </v>
      </c>
      <c r="CM245" s="9">
        <f>+CJ245*0.9</f>
        <v>4870.5300000000007</v>
      </c>
      <c r="CN245" s="9">
        <f>+CJ245*0.9</f>
        <v>4870.5300000000007</v>
      </c>
      <c r="CO245" s="9">
        <f>+CJ245*0.9</f>
        <v>4870.5300000000007</v>
      </c>
      <c r="CP245" s="69">
        <f>+IF(CI245-SUM(CM245:CO245)&lt;0,0,CI245-SUM(CM245:CO245))</f>
        <v>28393.409999999996</v>
      </c>
      <c r="CQ245" s="9">
        <f>+(BQ245*CE245*faktorji!$B$24)+(BQ245^0.5*CC245*4*4*0.66*faktorji!$B$22)+(BQ245^0.5*CD245*4*4*0.33*faktorji!$B$25)</f>
        <v>0</v>
      </c>
      <c r="CR245" s="3" t="str">
        <f t="shared" si="221"/>
        <v/>
      </c>
      <c r="CS245" s="9">
        <f>+BQ245*('MOL_tabela rezultatov'!CH245*faktorji!$B$26)+faktorji!$B$27*CG245</f>
        <v>20500.5</v>
      </c>
      <c r="CT245" s="3" t="str">
        <f t="shared" si="219"/>
        <v xml:space="preserve">energetsko upravljanje, manjši investicijski in organizacijski ukrepi, </v>
      </c>
      <c r="CU245" s="9">
        <f t="shared" si="190"/>
        <v>5125.125</v>
      </c>
      <c r="CV245" s="9">
        <f t="shared" ref="CV245:CX245" si="225">+CU245</f>
        <v>5125.125</v>
      </c>
      <c r="CW245" s="9">
        <f t="shared" si="225"/>
        <v>5125.125</v>
      </c>
      <c r="CX245" s="69">
        <f t="shared" si="225"/>
        <v>5125.125</v>
      </c>
    </row>
    <row r="246" spans="1:102" s="10" customFormat="1" ht="18" customHeight="1">
      <c r="A246" s="117" t="s">
        <v>786</v>
      </c>
      <c r="B246" s="146" t="s">
        <v>787</v>
      </c>
      <c r="C246" s="57"/>
      <c r="D246" s="57"/>
      <c r="E246" s="51" t="s">
        <v>1176</v>
      </c>
      <c r="F246" s="51"/>
      <c r="G246" s="51">
        <v>2</v>
      </c>
      <c r="H246" s="51" t="s">
        <v>1254</v>
      </c>
      <c r="I246" s="51"/>
      <c r="J246" s="51">
        <v>2</v>
      </c>
      <c r="K246" s="37" t="s">
        <v>1243</v>
      </c>
      <c r="L246" s="50"/>
      <c r="M246" s="4" t="s">
        <v>6</v>
      </c>
      <c r="N246" s="25"/>
      <c r="O246" s="25">
        <v>321.3</v>
      </c>
      <c r="P246" s="25"/>
      <c r="Q246" s="25"/>
      <c r="R246" s="25"/>
      <c r="S246" s="25"/>
      <c r="T246" s="25">
        <v>21.504000000000001</v>
      </c>
      <c r="U246" s="25">
        <v>342.80400000000003</v>
      </c>
      <c r="V246" s="30">
        <v>16.107865168539327</v>
      </c>
      <c r="W246" s="30">
        <v>240.67415730337078</v>
      </c>
      <c r="X246" s="31"/>
      <c r="Y246" s="31"/>
      <c r="Z246" s="31"/>
      <c r="AA246" s="31"/>
      <c r="AB246" s="31"/>
      <c r="AC246" s="31"/>
      <c r="AD246" s="31"/>
      <c r="AE246" s="32"/>
      <c r="AF246" s="16" t="s">
        <v>788</v>
      </c>
      <c r="AG246" s="3">
        <v>1989</v>
      </c>
      <c r="AH246" s="4"/>
      <c r="AI246" s="6">
        <v>1335</v>
      </c>
      <c r="AJ246" s="38">
        <v>100</v>
      </c>
      <c r="AK246" s="3"/>
      <c r="AL246" s="1" t="s">
        <v>421</v>
      </c>
      <c r="AM246" s="37"/>
      <c r="AN246" s="37"/>
      <c r="AO246" s="37"/>
      <c r="AP246" s="37"/>
      <c r="AQ246" s="37"/>
      <c r="AR246" s="37"/>
      <c r="AS246" s="37"/>
      <c r="AT246" s="37"/>
      <c r="AU246" s="37"/>
      <c r="AV246" s="37"/>
      <c r="AW246" s="37"/>
      <c r="AX246" s="37"/>
      <c r="AY246" s="37"/>
      <c r="AZ246" s="37"/>
      <c r="BA246" s="37"/>
      <c r="BB246" s="37"/>
      <c r="BC246" s="37">
        <v>59.9</v>
      </c>
      <c r="BD246" s="37">
        <v>63.7</v>
      </c>
      <c r="BE246" s="37">
        <v>54.6</v>
      </c>
      <c r="BF246" s="37">
        <v>76.8</v>
      </c>
      <c r="BG246" s="42"/>
      <c r="BH246" s="42">
        <v>366.54</v>
      </c>
      <c r="BI246" s="42"/>
      <c r="BJ246" s="42"/>
      <c r="BK246" s="44">
        <v>366.54</v>
      </c>
      <c r="BL246" s="44">
        <v>63.75</v>
      </c>
      <c r="BM246" s="44">
        <f>+BK246+BL246</f>
        <v>430.29</v>
      </c>
      <c r="BN246" s="47">
        <v>274.35628742514967</v>
      </c>
      <c r="BO246" s="47">
        <v>47.717065868263475</v>
      </c>
      <c r="BP246" s="45">
        <v>322.07335329341316</v>
      </c>
      <c r="BQ246" s="9">
        <v>1336</v>
      </c>
      <c r="BR246" s="4" t="s">
        <v>966</v>
      </c>
      <c r="BS246" s="4">
        <v>1990</v>
      </c>
      <c r="BT246" s="4" t="s">
        <v>872</v>
      </c>
      <c r="BU246" s="4" t="s">
        <v>967</v>
      </c>
      <c r="BV246" s="4" t="s">
        <v>871</v>
      </c>
      <c r="BW246" s="4" t="s">
        <v>968</v>
      </c>
      <c r="BX246" s="4" t="s">
        <v>969</v>
      </c>
      <c r="BY246" s="9">
        <f>+INT(BK246*faktorji!$B$5)</f>
        <v>34821</v>
      </c>
      <c r="BZ246" s="9">
        <f>+INT(BL246*faktorji!$B$4)</f>
        <v>10518</v>
      </c>
      <c r="CA246" s="3" t="s">
        <v>1311</v>
      </c>
      <c r="CB246" s="4">
        <v>1</v>
      </c>
      <c r="CC246" s="4">
        <v>1</v>
      </c>
      <c r="CD246" s="4">
        <v>0</v>
      </c>
      <c r="CE246" s="4">
        <v>0</v>
      </c>
      <c r="CF246" s="4">
        <v>1</v>
      </c>
      <c r="CG246" s="4">
        <v>1</v>
      </c>
      <c r="CH246" s="4">
        <v>1</v>
      </c>
      <c r="CI246" s="9">
        <f>+BQ246*(CB246*faktorji!$B$21+'MOL_tabela rezultatov'!CF285*faktorji!$B$23+'MOL_tabela rezultatov'!CH285*faktorji!$B$26)+faktorji!$B$27*CG246</f>
        <v>40044</v>
      </c>
      <c r="CJ246" s="9">
        <f>+(BZ246*CF246*faktorji!$B$18)+(CG246*faktorji!$B$17*('MOL_tabela rezultatov'!BY285+'MOL_tabela rezultatov'!BZ285))+('MOL_tabela rezultatov'!CH285*faktorji!$B$16*'MOL_tabela rezultatov'!BY285)+('MOL_tabela rezultatov'!CB285*faktorji!$B$12*'MOL_tabela rezultatov'!BY285)</f>
        <v>1927.6000000000001</v>
      </c>
      <c r="CK246" s="66">
        <f>+CI246/CJ246</f>
        <v>20.774019506121601</v>
      </c>
      <c r="CL246" s="3" t="str">
        <f>CONCATENATE(IF(CB246&gt;0,"kotlovnica/toplotna postaja, ",""),IF(CF246&gt;0,"razsvetljava, ",""),IF(CG246&gt;0,"energetsko upravljanje, ",""),IF(CH246&gt;0,"manjši investicijski in organizacijski ukrepi, ",""))</f>
        <v xml:space="preserve">kotlovnica/toplotna postaja, razsvetljava, energetsko upravljanje, manjši investicijski in organizacijski ukrepi, </v>
      </c>
      <c r="CM246" s="9">
        <f>+CJ246*0.9</f>
        <v>1734.8400000000001</v>
      </c>
      <c r="CN246" s="9">
        <f>+CJ246*0.9</f>
        <v>1734.8400000000001</v>
      </c>
      <c r="CO246" s="9">
        <f>+CJ246*0.9</f>
        <v>1734.8400000000001</v>
      </c>
      <c r="CP246" s="69">
        <f>+IF(CI246-SUM(CM246:CO246)&lt;0,0,CI246-SUM(CM246:CO246))</f>
        <v>34839.479999999996</v>
      </c>
      <c r="CQ246" s="9">
        <f>+(BQ246*CE246*faktorji!$B$24)+(BQ246^0.5*CC246*4*4*0.66*faktorji!$B$22)+(BQ246^0.5*CD246*4*4*0.33*faktorji!$B$25)</f>
        <v>27018.745919083663</v>
      </c>
      <c r="CR246" s="3" t="str">
        <f t="shared" si="221"/>
        <v xml:space="preserve">izolacija ovoja, </v>
      </c>
      <c r="CS246" s="9">
        <f>+BQ246*('MOL_tabela rezultatov'!CH246*faktorji!$B$26)+faktorji!$B$27*CG246</f>
        <v>20004</v>
      </c>
      <c r="CT246" s="3" t="str">
        <f t="shared" si="219"/>
        <v xml:space="preserve">energetsko upravljanje, manjši investicijski in organizacijski ukrepi, </v>
      </c>
      <c r="CU246" s="9">
        <f t="shared" si="190"/>
        <v>5001</v>
      </c>
      <c r="CV246" s="9">
        <f t="shared" ref="CV246:CX246" si="226">+CU246</f>
        <v>5001</v>
      </c>
      <c r="CW246" s="9">
        <f t="shared" si="226"/>
        <v>5001</v>
      </c>
      <c r="CX246" s="69">
        <f t="shared" si="226"/>
        <v>5001</v>
      </c>
    </row>
    <row r="247" spans="1:102" s="10" customFormat="1" ht="18" hidden="1" customHeight="1">
      <c r="A247" s="53" t="s">
        <v>599</v>
      </c>
      <c r="B247" s="2" t="s">
        <v>600</v>
      </c>
      <c r="C247" s="57"/>
      <c r="D247" s="57"/>
      <c r="E247" s="51" t="s">
        <v>1176</v>
      </c>
      <c r="F247" s="51"/>
      <c r="G247" s="51">
        <v>3</v>
      </c>
      <c r="H247" s="51"/>
      <c r="I247" s="51"/>
      <c r="J247" s="51">
        <v>7</v>
      </c>
      <c r="K247" s="37" t="s">
        <v>1243</v>
      </c>
      <c r="L247" s="50"/>
      <c r="M247" s="4" t="s">
        <v>5</v>
      </c>
      <c r="N247" s="28">
        <v>319</v>
      </c>
      <c r="O247" s="25"/>
      <c r="P247" s="25"/>
      <c r="Q247" s="25"/>
      <c r="R247" s="25"/>
      <c r="S247" s="25"/>
      <c r="T247" s="25">
        <v>35.665999999999997</v>
      </c>
      <c r="U247" s="25">
        <v>354.666</v>
      </c>
      <c r="V247" s="30">
        <v>41.520372526193242</v>
      </c>
      <c r="W247" s="30">
        <v>371.36204889406287</v>
      </c>
      <c r="X247" s="31"/>
      <c r="Y247" s="31"/>
      <c r="Z247" s="31"/>
      <c r="AA247" s="31"/>
      <c r="AB247" s="31"/>
      <c r="AC247" s="31"/>
      <c r="AD247" s="31"/>
      <c r="AE247" s="32"/>
      <c r="AF247" s="16"/>
      <c r="AG247" s="3"/>
      <c r="AH247" s="4"/>
      <c r="AI247" s="6">
        <v>859</v>
      </c>
      <c r="AJ247" s="38">
        <v>100</v>
      </c>
      <c r="AK247" s="3"/>
      <c r="AL247" s="1" t="s">
        <v>596</v>
      </c>
      <c r="AM247" s="39"/>
      <c r="AN247" s="39"/>
      <c r="AO247" s="39"/>
      <c r="AP247" s="39"/>
      <c r="AQ247" s="37"/>
      <c r="AR247" s="37"/>
      <c r="AS247" s="37"/>
      <c r="AT247" s="37"/>
      <c r="AU247" s="37"/>
      <c r="AV247" s="37"/>
      <c r="AW247" s="37"/>
      <c r="AX247" s="37"/>
      <c r="AY247" s="37"/>
      <c r="AZ247" s="37"/>
      <c r="BA247" s="37"/>
      <c r="BB247" s="37"/>
      <c r="BC247" s="37">
        <v>35.6</v>
      </c>
      <c r="BD247" s="37">
        <v>37.299999999999997</v>
      </c>
      <c r="BE247" s="37">
        <v>32.200000000000003</v>
      </c>
      <c r="BF247" s="37">
        <v>35.6</v>
      </c>
      <c r="BG247" s="42">
        <v>183.7</v>
      </c>
      <c r="BH247" s="42"/>
      <c r="BI247" s="42"/>
      <c r="BJ247" s="42"/>
      <c r="BK247" s="44">
        <v>183.7</v>
      </c>
      <c r="BL247" s="44">
        <v>35.175000000000004</v>
      </c>
      <c r="BM247" s="44">
        <f>+BK247+BL247</f>
        <v>218.875</v>
      </c>
      <c r="BN247" s="47">
        <v>162.85460992907801</v>
      </c>
      <c r="BO247" s="47">
        <v>31.183510638297879</v>
      </c>
      <c r="BP247" s="45">
        <v>194.0381205673759</v>
      </c>
      <c r="BQ247" s="9">
        <v>1128</v>
      </c>
      <c r="BR247" s="4"/>
      <c r="BS247" s="4">
        <v>1982</v>
      </c>
      <c r="BT247" s="4" t="s">
        <v>431</v>
      </c>
      <c r="BU247" s="4"/>
      <c r="BV247" s="4"/>
      <c r="BW247" s="1" t="s">
        <v>869</v>
      </c>
      <c r="BX247" s="4"/>
      <c r="BY247" s="9">
        <f>+INT(BK247*faktorji!$B$3)</f>
        <v>11940</v>
      </c>
      <c r="BZ247" s="9">
        <f>+INT(BL247*faktorji!$B$4)</f>
        <v>5803</v>
      </c>
      <c r="CA247" s="4"/>
      <c r="CB247" s="4">
        <v>1</v>
      </c>
      <c r="CC247" s="4">
        <v>1</v>
      </c>
      <c r="CD247" s="4">
        <v>1</v>
      </c>
      <c r="CE247" s="4">
        <v>1</v>
      </c>
      <c r="CF247" s="4">
        <v>0</v>
      </c>
      <c r="CG247" s="4">
        <v>1</v>
      </c>
      <c r="CH247" s="4">
        <v>1</v>
      </c>
      <c r="CI247" s="9">
        <f>+BQ247*(CB247*faktorji!$B$21+'MOL_tabela rezultatov'!CF220*faktorji!$B$23+'MOL_tabela rezultatov'!CH220*faktorji!$B$26)+faktorji!$B$27*CG247</f>
        <v>53532</v>
      </c>
      <c r="CJ247" s="9">
        <f>+(BZ247*CF247*faktorji!$B$18)+(CG247*faktorji!$B$17*('MOL_tabela rezultatov'!BY220+'MOL_tabela rezultatov'!BZ220))+('MOL_tabela rezultatov'!CH220*faktorji!$B$16*'MOL_tabela rezultatov'!BY220)+('MOL_tabela rezultatov'!CB220*faktorji!$B$12*'MOL_tabela rezultatov'!BY220)</f>
        <v>432.5</v>
      </c>
      <c r="CK247" s="66">
        <f>+CI247/CJ247</f>
        <v>123.77341040462427</v>
      </c>
      <c r="CL247" s="3" t="str">
        <f>CONCATENATE(IF(CB247&gt;0,"kotlovnica/toplotna postaja, ",""),IF(CF247&gt;0,"razsvetljava, ",""),IF(CG247&gt;0,"energetsko upravljanje, ",""),IF(CH247&gt;0,"manjši investicijski in organizacijski ukrepi, ",""))</f>
        <v xml:space="preserve">kotlovnica/toplotna postaja, energetsko upravljanje, manjši investicijski in organizacijski ukrepi, </v>
      </c>
      <c r="CM247" s="9">
        <f>+CJ247*0.9</f>
        <v>389.25</v>
      </c>
      <c r="CN247" s="9">
        <f>+CJ247*0.9</f>
        <v>389.25</v>
      </c>
      <c r="CO247" s="9">
        <f>+CJ247*0.9</f>
        <v>389.25</v>
      </c>
      <c r="CP247" s="69">
        <f>+IF(CI247-SUM(CM247:CO247)&lt;0,0,CI247-SUM(CM247:CO247))</f>
        <v>52364.25</v>
      </c>
      <c r="CQ247" s="9">
        <f>+(BQ247*CE247*faktorji!$B$24)+(BQ247^0.5*CC247*4*4*0.66*faktorji!$B$22)+(BQ247^0.5*CD247*4*4*0.33*faktorji!$B$25)</f>
        <v>91719.696600838273</v>
      </c>
      <c r="CR247" s="3" t="str">
        <f t="shared" si="221"/>
        <v xml:space="preserve">izolacija ovoja, stavbno pohištvo, izolacija podstrešja, </v>
      </c>
      <c r="CS247" s="9">
        <f>+BQ247*('MOL_tabela rezultatov'!CH247*faktorji!$B$26)+faktorji!$B$27*CG247</f>
        <v>19692</v>
      </c>
      <c r="CT247" s="3" t="str">
        <f t="shared" si="219"/>
        <v xml:space="preserve">energetsko upravljanje, manjši investicijski in organizacijski ukrepi, </v>
      </c>
      <c r="CU247" s="9">
        <f t="shared" si="190"/>
        <v>4923</v>
      </c>
      <c r="CV247" s="9">
        <f t="shared" ref="CV247:CX247" si="227">+CU247</f>
        <v>4923</v>
      </c>
      <c r="CW247" s="9">
        <f t="shared" si="227"/>
        <v>4923</v>
      </c>
      <c r="CX247" s="69">
        <f t="shared" si="227"/>
        <v>4923</v>
      </c>
    </row>
    <row r="248" spans="1:102" s="10" customFormat="1" ht="18" hidden="1" customHeight="1">
      <c r="A248" s="53" t="s">
        <v>259</v>
      </c>
      <c r="B248" s="2" t="s">
        <v>260</v>
      </c>
      <c r="C248" s="57"/>
      <c r="D248" s="57"/>
      <c r="E248" s="51" t="s">
        <v>1173</v>
      </c>
      <c r="F248" s="51"/>
      <c r="G248" s="51">
        <v>2</v>
      </c>
      <c r="H248" s="51"/>
      <c r="I248" s="51"/>
      <c r="J248" s="51">
        <v>3</v>
      </c>
      <c r="K248" s="37" t="s">
        <v>1243</v>
      </c>
      <c r="L248" s="50"/>
      <c r="M248" s="4" t="s">
        <v>5</v>
      </c>
      <c r="N248" s="25">
        <v>293.06</v>
      </c>
      <c r="O248" s="25"/>
      <c r="P248" s="25"/>
      <c r="Q248" s="25"/>
      <c r="R248" s="25"/>
      <c r="S248" s="25"/>
      <c r="T248" s="25">
        <v>49.212655301571978</v>
      </c>
      <c r="U248" s="25">
        <v>342.272655301572</v>
      </c>
      <c r="V248" s="30">
        <v>26.45841682880214</v>
      </c>
      <c r="W248" s="30">
        <v>157.55913978494624</v>
      </c>
      <c r="X248" s="33">
        <v>188.04</v>
      </c>
      <c r="Y248" s="31"/>
      <c r="Z248" s="31"/>
      <c r="AA248" s="31"/>
      <c r="AB248" s="31"/>
      <c r="AC248" s="31">
        <v>47.25</v>
      </c>
      <c r="AD248" s="31"/>
      <c r="AE248" s="32">
        <v>101.09677419354838</v>
      </c>
      <c r="AF248" s="1"/>
      <c r="AG248" s="4"/>
      <c r="AH248" s="4"/>
      <c r="AI248" s="6">
        <v>1860</v>
      </c>
      <c r="AJ248" s="38">
        <v>100</v>
      </c>
      <c r="AK248" s="3"/>
      <c r="AL248" s="1" t="s">
        <v>250</v>
      </c>
      <c r="AM248" s="37"/>
      <c r="AN248" s="37"/>
      <c r="AO248" s="37"/>
      <c r="AP248" s="37"/>
      <c r="AQ248" s="37"/>
      <c r="AR248" s="37"/>
      <c r="AS248" s="37"/>
      <c r="AT248" s="37"/>
      <c r="AU248" s="37"/>
      <c r="AV248" s="37"/>
      <c r="AW248" s="37"/>
      <c r="AX248" s="37"/>
      <c r="AY248" s="37"/>
      <c r="AZ248" s="37"/>
      <c r="BA248" s="37"/>
      <c r="BB248" s="37"/>
      <c r="BC248" s="37"/>
      <c r="BD248" s="37"/>
      <c r="BE248" s="37"/>
      <c r="BF248" s="37"/>
      <c r="BG248" s="42">
        <v>293.06</v>
      </c>
      <c r="BH248" s="42"/>
      <c r="BI248" s="42"/>
      <c r="BJ248" s="42"/>
      <c r="BK248" s="44">
        <v>293.06</v>
      </c>
      <c r="BL248" s="44">
        <v>0</v>
      </c>
      <c r="BM248" s="44">
        <f>+BK248+BL248</f>
        <v>293.06</v>
      </c>
      <c r="BN248" s="47">
        <v>157.55913978494624</v>
      </c>
      <c r="BO248" s="47">
        <v>0</v>
      </c>
      <c r="BP248" s="45">
        <v>157.55913978494624</v>
      </c>
      <c r="BQ248" s="9">
        <v>1500</v>
      </c>
      <c r="BR248" s="4"/>
      <c r="BS248" s="4"/>
      <c r="BT248" s="4"/>
      <c r="BU248" s="4"/>
      <c r="BV248" s="4"/>
      <c r="BW248" s="4"/>
      <c r="BX248" s="4"/>
      <c r="BY248" s="9">
        <f>+INT(BK248*faktorji!$B$3)</f>
        <v>19048</v>
      </c>
      <c r="BZ248" s="9">
        <f>+INT(BL248*faktorji!$B$4)</f>
        <v>0</v>
      </c>
      <c r="CA248" s="72" t="s">
        <v>1315</v>
      </c>
      <c r="CB248" s="4">
        <v>0</v>
      </c>
      <c r="CC248" s="4">
        <v>0</v>
      </c>
      <c r="CD248" s="4">
        <v>0</v>
      </c>
      <c r="CE248" s="4">
        <v>0</v>
      </c>
      <c r="CF248" s="4">
        <v>1</v>
      </c>
      <c r="CG248" s="4">
        <v>1</v>
      </c>
      <c r="CH248" s="4">
        <v>1</v>
      </c>
      <c r="CI248" s="9">
        <f>+BQ248*(CB248*faktorji!$B$21+'MOL_tabela rezultatov'!CF96*faktorji!$B$23+'MOL_tabela rezultatov'!CH96*faktorji!$B$26)+faktorji!$B$27*CG248</f>
        <v>42750</v>
      </c>
      <c r="CJ248" s="9">
        <f>+(BZ248*CF248*faktorji!$B$18)+(CG248*faktorji!$B$17*('MOL_tabela rezultatov'!BY96+'MOL_tabela rezultatov'!BZ96))+('MOL_tabela rezultatov'!CH96*faktorji!$B$16*'MOL_tabela rezultatov'!BY96)+('MOL_tabela rezultatov'!CB96*faktorji!$B$12*'MOL_tabela rezultatov'!BY96)</f>
        <v>747.8</v>
      </c>
      <c r="CK248" s="66">
        <f>+CI248/CJ248</f>
        <v>57.167691896228945</v>
      </c>
      <c r="CL248" s="3" t="str">
        <f>CONCATENATE(IF(CB248&gt;0,"kotlovnica/toplotna postaja, ",""),IF(CF248&gt;0,"razsvetljava, ",""),IF(CG248&gt;0,"energetsko upravljanje, ",""),IF(CH248&gt;0,"manjši investicijski in organizacijski ukrepi, ",""))</f>
        <v xml:space="preserve">razsvetljava, energetsko upravljanje, manjši investicijski in organizacijski ukrepi, </v>
      </c>
      <c r="CM248" s="9">
        <f>+CJ248*0.9</f>
        <v>673.02</v>
      </c>
      <c r="CN248" s="9">
        <f>+CJ248*0.9</f>
        <v>673.02</v>
      </c>
      <c r="CO248" s="9">
        <f>+CJ248*0.9</f>
        <v>673.02</v>
      </c>
      <c r="CP248" s="69">
        <f>+IF(CI248-SUM(CM248:CO248)&lt;0,0,CI248-SUM(CM248:CO248))</f>
        <v>40730.94</v>
      </c>
      <c r="CQ248" s="9">
        <f>+(BQ248*CE248*faktorji!$B$24)+(BQ248^0.5*CC248*4*4*0.66*faktorji!$B$22)+(BQ248^0.5*CD248*4*4*0.33*faktorji!$B$25)</f>
        <v>0</v>
      </c>
      <c r="CR248" s="3" t="str">
        <f t="shared" si="221"/>
        <v/>
      </c>
      <c r="CS248" s="9">
        <f>+BQ248*('MOL_tabela rezultatov'!CH248*faktorji!$B$26)+faktorji!$B$27*CG248</f>
        <v>20250</v>
      </c>
      <c r="CT248" s="3" t="str">
        <f t="shared" si="219"/>
        <v xml:space="preserve">energetsko upravljanje, manjši investicijski in organizacijski ukrepi, </v>
      </c>
      <c r="CU248" s="9">
        <f t="shared" si="190"/>
        <v>5062.5</v>
      </c>
      <c r="CV248" s="9">
        <f t="shared" ref="CV248:CX248" si="228">+CU248</f>
        <v>5062.5</v>
      </c>
      <c r="CW248" s="9">
        <f t="shared" si="228"/>
        <v>5062.5</v>
      </c>
      <c r="CX248" s="69">
        <f t="shared" si="228"/>
        <v>5062.5</v>
      </c>
    </row>
    <row r="249" spans="1:102" s="10" customFormat="1" ht="18" customHeight="1">
      <c r="A249" s="117" t="s">
        <v>617</v>
      </c>
      <c r="B249" s="146" t="s">
        <v>618</v>
      </c>
      <c r="C249" s="57"/>
      <c r="D249" s="57"/>
      <c r="E249" s="51" t="s">
        <v>1176</v>
      </c>
      <c r="F249" s="51"/>
      <c r="G249" s="51">
        <v>2</v>
      </c>
      <c r="H249" s="51" t="s">
        <v>1252</v>
      </c>
      <c r="I249" s="51"/>
      <c r="J249" s="51">
        <v>2</v>
      </c>
      <c r="K249" s="37" t="s">
        <v>1242</v>
      </c>
      <c r="L249" s="50"/>
      <c r="M249" s="4" t="s">
        <v>5</v>
      </c>
      <c r="N249" s="25"/>
      <c r="O249" s="25"/>
      <c r="P249" s="25"/>
      <c r="Q249" s="25"/>
      <c r="R249" s="25"/>
      <c r="S249" s="25">
        <v>387.43</v>
      </c>
      <c r="T249" s="25">
        <v>237.94499999999999</v>
      </c>
      <c r="U249" s="25">
        <v>237.94499999999999</v>
      </c>
      <c r="V249" s="30">
        <v>132.04495005549387</v>
      </c>
      <c r="W249" s="30">
        <v>215</v>
      </c>
      <c r="X249" s="31"/>
      <c r="Y249" s="31"/>
      <c r="Z249" s="31"/>
      <c r="AA249" s="31"/>
      <c r="AB249" s="31"/>
      <c r="AC249" s="31"/>
      <c r="AD249" s="31"/>
      <c r="AE249" s="32"/>
      <c r="AF249" s="16"/>
      <c r="AG249" s="3"/>
      <c r="AH249" s="4"/>
      <c r="AI249" s="6">
        <v>1802</v>
      </c>
      <c r="AJ249" s="38">
        <v>100</v>
      </c>
      <c r="AK249" s="3"/>
      <c r="AL249" s="1" t="s">
        <v>619</v>
      </c>
      <c r="AM249" s="37">
        <v>322.89999999999998</v>
      </c>
      <c r="AN249" s="37">
        <v>328.1</v>
      </c>
      <c r="AO249" s="37">
        <v>293.60000000000002</v>
      </c>
      <c r="AP249" s="37">
        <v>248.5</v>
      </c>
      <c r="AQ249" s="37"/>
      <c r="AR249" s="37"/>
      <c r="AS249" s="37"/>
      <c r="AT249" s="37"/>
      <c r="AU249" s="37"/>
      <c r="AV249" s="37"/>
      <c r="AW249" s="37"/>
      <c r="AX249" s="37"/>
      <c r="AY249" s="37"/>
      <c r="AZ249" s="37"/>
      <c r="BA249" s="37"/>
      <c r="BB249" s="37"/>
      <c r="BC249" s="37"/>
      <c r="BD249" s="37"/>
      <c r="BE249" s="37"/>
      <c r="BF249" s="37"/>
      <c r="BG249" s="42">
        <v>298.27499999999998</v>
      </c>
      <c r="BH249" s="42">
        <v>31.5</v>
      </c>
      <c r="BI249" s="42"/>
      <c r="BJ249" s="42"/>
      <c r="BK249" s="44">
        <v>329.77499999999998</v>
      </c>
      <c r="BL249" s="44">
        <v>237.95</v>
      </c>
      <c r="BM249" s="44">
        <f>+BK249+BL249</f>
        <v>567.72499999999991</v>
      </c>
      <c r="BN249" s="47">
        <v>207.40566037735849</v>
      </c>
      <c r="BO249" s="47">
        <v>149.65408805031447</v>
      </c>
      <c r="BP249" s="45">
        <v>357.0597484276729</v>
      </c>
      <c r="BQ249" s="9">
        <v>1590</v>
      </c>
      <c r="BR249" s="4"/>
      <c r="BS249" s="4">
        <v>1994</v>
      </c>
      <c r="BT249" s="4" t="s">
        <v>431</v>
      </c>
      <c r="BU249" s="4" t="s">
        <v>136</v>
      </c>
      <c r="BV249" s="4"/>
      <c r="BW249" s="4" t="s">
        <v>874</v>
      </c>
      <c r="BX249" s="4"/>
      <c r="BY249" s="9">
        <f>+INT(BK249*faktorji!$B$3)</f>
        <v>21435</v>
      </c>
      <c r="BZ249" s="9">
        <f>+INT(BL249*faktorji!$B$4)</f>
        <v>39261</v>
      </c>
      <c r="CA249" s="3" t="s">
        <v>1309</v>
      </c>
      <c r="CB249" s="4">
        <v>1</v>
      </c>
      <c r="CC249" s="4">
        <v>1</v>
      </c>
      <c r="CD249" s="4">
        <v>1</v>
      </c>
      <c r="CE249" s="4">
        <v>1</v>
      </c>
      <c r="CF249" s="4">
        <v>0</v>
      </c>
      <c r="CG249" s="4">
        <v>1</v>
      </c>
      <c r="CH249" s="4">
        <v>1</v>
      </c>
      <c r="CI249" s="9">
        <f>+BQ249*(CB249*faktorji!$B$21+'MOL_tabela rezultatov'!CF226*faktorji!$B$23+'MOL_tabela rezultatov'!CH226*faktorji!$B$26)+faktorji!$B$27*CG249</f>
        <v>68085</v>
      </c>
      <c r="CJ249" s="9">
        <f>+(BZ249*CF249*faktorji!$B$18)+(CG249*faktorji!$B$17*('MOL_tabela rezultatov'!BY226+'MOL_tabela rezultatov'!BZ226))+('MOL_tabela rezultatov'!CH226*faktorji!$B$16*'MOL_tabela rezultatov'!BY226)+('MOL_tabela rezultatov'!CB226*faktorji!$B$12*'MOL_tabela rezultatov'!BY226)</f>
        <v>14168.400000000001</v>
      </c>
      <c r="CK249" s="66">
        <f>+CI249/CJ249</f>
        <v>4.805412043702888</v>
      </c>
      <c r="CL249" s="3" t="str">
        <f>CONCATENATE(IF(CB249&gt;0,"kotlovnica/toplotna postaja, ",""),IF(CF249&gt;0,"razsvetljava, ",""),IF(CG249&gt;0,"energetsko upravljanje, ",""),IF(CH249&gt;0,"manjši investicijski in organizacijski ukrepi, ",""))</f>
        <v xml:space="preserve">kotlovnica/toplotna postaja, energetsko upravljanje, manjši investicijski in organizacijski ukrepi, </v>
      </c>
      <c r="CM249" s="9">
        <f>+CJ249*0.9</f>
        <v>12751.560000000001</v>
      </c>
      <c r="CN249" s="9">
        <f>+CJ249*0.9</f>
        <v>12751.560000000001</v>
      </c>
      <c r="CO249" s="9">
        <f>+CJ249*0.9</f>
        <v>12751.560000000001</v>
      </c>
      <c r="CP249" s="69">
        <f>+IF(CI249-SUM(CM249:CO249)&lt;0,0,CI249-SUM(CM249:CO249))</f>
        <v>29830.319999999992</v>
      </c>
      <c r="CQ249" s="9">
        <f>+(BQ249*CE249*faktorji!$B$24)+(BQ249^0.5*CC249*4*4*0.66*faktorji!$B$22)+(BQ249^0.5*CD249*4*4*0.33*faktorji!$B$25)</f>
        <v>113910.19655073296</v>
      </c>
      <c r="CR249" s="3" t="str">
        <f t="shared" si="221"/>
        <v xml:space="preserve">izolacija ovoja, stavbno pohištvo, izolacija podstrešja, </v>
      </c>
      <c r="CS249" s="9">
        <f>+BQ249*('MOL_tabela rezultatov'!CH249*faktorji!$B$26)+faktorji!$B$27*CG249</f>
        <v>20385</v>
      </c>
      <c r="CT249" s="3" t="str">
        <f t="shared" si="219"/>
        <v xml:space="preserve">energetsko upravljanje, manjši investicijski in organizacijski ukrepi, </v>
      </c>
      <c r="CU249" s="9">
        <f t="shared" si="190"/>
        <v>5096.25</v>
      </c>
      <c r="CV249" s="9">
        <f t="shared" ref="CV249:CX249" si="229">+CU249</f>
        <v>5096.25</v>
      </c>
      <c r="CW249" s="9">
        <f t="shared" si="229"/>
        <v>5096.25</v>
      </c>
      <c r="CX249" s="69">
        <f t="shared" si="229"/>
        <v>5096.25</v>
      </c>
    </row>
    <row r="250" spans="1:102" s="10" customFormat="1" ht="18" hidden="1" customHeight="1">
      <c r="A250" s="53" t="s">
        <v>645</v>
      </c>
      <c r="B250" s="2" t="s">
        <v>646</v>
      </c>
      <c r="C250" s="57"/>
      <c r="D250" s="57"/>
      <c r="E250" s="51" t="s">
        <v>1176</v>
      </c>
      <c r="F250" s="51"/>
      <c r="G250" s="51">
        <v>2</v>
      </c>
      <c r="H250" s="71" t="s">
        <v>1255</v>
      </c>
      <c r="I250" s="71"/>
      <c r="J250" s="51">
        <v>1</v>
      </c>
      <c r="K250" s="37" t="s">
        <v>1243</v>
      </c>
      <c r="L250" s="50"/>
      <c r="M250" s="110" t="s">
        <v>6</v>
      </c>
      <c r="N250" s="25"/>
      <c r="O250" s="25">
        <v>193</v>
      </c>
      <c r="P250" s="25"/>
      <c r="Q250" s="25"/>
      <c r="R250" s="25"/>
      <c r="S250" s="25"/>
      <c r="T250" s="27">
        <v>31.828666666666667</v>
      </c>
      <c r="U250" s="25">
        <v>224.82866666666666</v>
      </c>
      <c r="V250" s="30">
        <v>36.114220877458393</v>
      </c>
      <c r="W250" s="30">
        <v>218.98638426626323</v>
      </c>
      <c r="X250" s="31"/>
      <c r="Y250" s="31"/>
      <c r="Z250" s="31"/>
      <c r="AA250" s="31"/>
      <c r="AB250" s="31"/>
      <c r="AC250" s="31"/>
      <c r="AD250" s="31"/>
      <c r="AE250" s="32"/>
      <c r="AF250" s="16" t="s">
        <v>609</v>
      </c>
      <c r="AG250" s="3">
        <v>1995</v>
      </c>
      <c r="AH250" s="4"/>
      <c r="AI250" s="12">
        <v>881.33333333333337</v>
      </c>
      <c r="AJ250" s="38">
        <v>100</v>
      </c>
      <c r="AK250" s="3"/>
      <c r="AL250" s="1" t="s">
        <v>647</v>
      </c>
      <c r="AM250" s="37"/>
      <c r="AN250" s="37"/>
      <c r="AO250" s="37"/>
      <c r="AP250" s="37"/>
      <c r="AQ250" s="37">
        <f>(27539*9.5)/1000</f>
        <v>261.62049999999999</v>
      </c>
      <c r="AR250" s="37">
        <f>(32627*9.5)/1000</f>
        <v>309.95650000000001</v>
      </c>
      <c r="AS250" s="37">
        <f>(29827*9.5)/1000</f>
        <v>283.35649999999998</v>
      </c>
      <c r="AT250" s="37">
        <f>(27208*9.5)/1000</f>
        <v>258.476</v>
      </c>
      <c r="AU250" s="37"/>
      <c r="AV250" s="37"/>
      <c r="AW250" s="37"/>
      <c r="AX250" s="37"/>
      <c r="AY250" s="37"/>
      <c r="AZ250" s="37"/>
      <c r="BA250" s="37"/>
      <c r="BB250" s="37"/>
      <c r="BC250" s="37">
        <v>48.3</v>
      </c>
      <c r="BD250" s="37">
        <v>54.1</v>
      </c>
      <c r="BE250" s="37">
        <v>54.9</v>
      </c>
      <c r="BF250" s="37">
        <v>55.4</v>
      </c>
      <c r="BG250" s="42"/>
      <c r="BH250" s="42">
        <v>278.35237499999999</v>
      </c>
      <c r="BI250" s="43"/>
      <c r="BJ250" s="43"/>
      <c r="BK250" s="107">
        <v>248.1</v>
      </c>
      <c r="BL250" s="107">
        <v>55</v>
      </c>
      <c r="BM250" s="107">
        <f>+BK250+BL250</f>
        <v>303.10000000000002</v>
      </c>
      <c r="BN250" s="108">
        <f>+BK250*1000/BQ250</f>
        <v>252.39064089521872</v>
      </c>
      <c r="BO250" s="108">
        <f>+BL250*1000/BQ250</f>
        <v>55.95116988809766</v>
      </c>
      <c r="BP250" s="109">
        <f>+BO250+BN250</f>
        <v>308.34181078331636</v>
      </c>
      <c r="BQ250" s="106">
        <v>983</v>
      </c>
      <c r="BR250" s="110">
        <v>225</v>
      </c>
      <c r="BS250" s="110">
        <v>1995</v>
      </c>
      <c r="BT250" s="4"/>
      <c r="BU250" s="4"/>
      <c r="BV250" s="4" t="s">
        <v>890</v>
      </c>
      <c r="BW250" s="4"/>
      <c r="BX250" s="4"/>
      <c r="BY250" s="106">
        <v>15800</v>
      </c>
      <c r="BZ250" s="106">
        <v>8050</v>
      </c>
      <c r="CA250" s="114" t="s">
        <v>1322</v>
      </c>
      <c r="CB250" s="4">
        <v>1</v>
      </c>
      <c r="CC250" s="4">
        <v>1</v>
      </c>
      <c r="CD250" s="4">
        <v>0.5</v>
      </c>
      <c r="CE250" s="4">
        <v>0</v>
      </c>
      <c r="CF250" s="4">
        <v>1</v>
      </c>
      <c r="CG250" s="4">
        <v>1</v>
      </c>
      <c r="CH250" s="4">
        <v>1</v>
      </c>
      <c r="CI250" s="106">
        <f>207135-177000+49733</f>
        <v>79868</v>
      </c>
      <c r="CJ250" s="106">
        <f>+(BZ250*CF250*faktorji!$B$18)+(CG250*faktorji!$B$17*('MOL_tabela rezultatov'!BY237+'MOL_tabela rezultatov'!BZ237))+('MOL_tabela rezultatov'!CH237*faktorji!$B$16*'MOL_tabela rezultatov'!BY237)+('MOL_tabela rezultatov'!CB237*faktorji!$B$12*'MOL_tabela rezultatov'!BY237)</f>
        <v>1519.6999999999998</v>
      </c>
      <c r="CK250" s="115">
        <f>+CI250/CJ250</f>
        <v>52.555109561097588</v>
      </c>
      <c r="CL250" s="3" t="str">
        <f>CONCATENATE(IF(CB250&gt;0,"kotlovnica/toplotna postaja, ",""),IF(CF250&gt;0,"razsvetljava, ",""),IF(CG250&gt;0,"energetsko upravljanje, ",""),IF(CH250&gt;0,"manjši investicijski in organizacijski ukrepi, ",""))</f>
        <v xml:space="preserve">kotlovnica/toplotna postaja, razsvetljava, energetsko upravljanje, manjši investicijski in organizacijski ukrepi, </v>
      </c>
      <c r="CM250" s="9">
        <f>+CJ250*0.9</f>
        <v>1367.7299999999998</v>
      </c>
      <c r="CN250" s="9">
        <f>+CJ250*0.9</f>
        <v>1367.7299999999998</v>
      </c>
      <c r="CO250" s="9">
        <f>+CJ250*0.9</f>
        <v>1367.7299999999998</v>
      </c>
      <c r="CP250" s="69">
        <f>+IF(CI250-SUM(CM250:CO250)&lt;0,0,CI250-SUM(CM250:CO250))</f>
        <v>75764.81</v>
      </c>
      <c r="CQ250" s="9">
        <f>+(BQ250*CE250*faktorji!$B$24)+(BQ250^0.5*CC250*4*4*0.66*faktorji!$B$22)+(BQ250^0.5*CD250*4*4*0.33*faktorji!$B$25)</f>
        <v>43868.880873803922</v>
      </c>
      <c r="CR250" s="3" t="str">
        <f t="shared" si="221"/>
        <v xml:space="preserve">izolacija ovoja, stavbno pohištvo, </v>
      </c>
      <c r="CS250" s="9">
        <f>+BQ250*('MOL_tabela rezultatov'!CH250*faktorji!$B$26)+faktorji!$B$27*CG250</f>
        <v>19474.5</v>
      </c>
      <c r="CT250" s="3" t="str">
        <f t="shared" si="219"/>
        <v xml:space="preserve">energetsko upravljanje, manjši investicijski in organizacijski ukrepi, </v>
      </c>
      <c r="CU250" s="9">
        <f t="shared" si="190"/>
        <v>4868.625</v>
      </c>
      <c r="CV250" s="9">
        <f t="shared" ref="CV250:CX250" si="230">+CU250</f>
        <v>4868.625</v>
      </c>
      <c r="CW250" s="9">
        <f t="shared" si="230"/>
        <v>4868.625</v>
      </c>
      <c r="CX250" s="69">
        <f t="shared" si="230"/>
        <v>4868.625</v>
      </c>
    </row>
    <row r="251" spans="1:102" s="10" customFormat="1" ht="18" customHeight="1">
      <c r="A251" s="117" t="s">
        <v>695</v>
      </c>
      <c r="B251" s="146" t="s">
        <v>696</v>
      </c>
      <c r="C251" s="57"/>
      <c r="D251" s="57"/>
      <c r="E251" s="51" t="s">
        <v>1176</v>
      </c>
      <c r="F251" s="51"/>
      <c r="G251" s="51">
        <v>2</v>
      </c>
      <c r="H251" s="51" t="s">
        <v>1253</v>
      </c>
      <c r="I251" s="51"/>
      <c r="J251" s="51">
        <v>2</v>
      </c>
      <c r="K251" s="37" t="s">
        <v>1243</v>
      </c>
      <c r="L251" s="50"/>
      <c r="M251" s="4" t="s">
        <v>7</v>
      </c>
      <c r="N251" s="25"/>
      <c r="O251" s="25"/>
      <c r="P251" s="25">
        <v>586.20000000000005</v>
      </c>
      <c r="Q251" s="25"/>
      <c r="R251" s="25"/>
      <c r="S251" s="25"/>
      <c r="T251" s="25">
        <v>49.189</v>
      </c>
      <c r="U251" s="25">
        <v>635.38900000000001</v>
      </c>
      <c r="V251" s="30">
        <v>37.377659574468083</v>
      </c>
      <c r="W251" s="30">
        <v>445.44072948328267</v>
      </c>
      <c r="X251" s="31"/>
      <c r="Y251" s="31"/>
      <c r="Z251" s="31"/>
      <c r="AA251" s="31"/>
      <c r="AB251" s="31"/>
      <c r="AC251" s="31"/>
      <c r="AD251" s="31"/>
      <c r="AE251" s="32"/>
      <c r="AF251" s="16"/>
      <c r="AG251" s="3"/>
      <c r="AH251" s="4"/>
      <c r="AI251" s="6">
        <v>1316</v>
      </c>
      <c r="AJ251" s="38">
        <v>100</v>
      </c>
      <c r="AK251" s="3"/>
      <c r="AL251" s="1" t="s">
        <v>697</v>
      </c>
      <c r="AM251" s="37"/>
      <c r="AN251" s="37"/>
      <c r="AO251" s="37"/>
      <c r="AP251" s="37"/>
      <c r="AQ251" s="37">
        <f>(30101*9.5)/1000</f>
        <v>285.95949999999999</v>
      </c>
      <c r="AR251" s="37">
        <f>(29604*9.5)/1000</f>
        <v>281.238</v>
      </c>
      <c r="AS251" s="37">
        <f>(34968*9.5)/1000</f>
        <v>332.19600000000003</v>
      </c>
      <c r="AT251" s="37">
        <f>(28978*9.5)/1000</f>
        <v>275.291</v>
      </c>
      <c r="AU251" s="37"/>
      <c r="AV251" s="37"/>
      <c r="AW251" s="37"/>
      <c r="AX251" s="37"/>
      <c r="AY251" s="37"/>
      <c r="AZ251" s="37"/>
      <c r="BA251" s="37"/>
      <c r="BB251" s="37"/>
      <c r="BC251" s="37">
        <v>111.3</v>
      </c>
      <c r="BD251" s="37">
        <v>112.1</v>
      </c>
      <c r="BE251" s="37">
        <v>110.3</v>
      </c>
      <c r="BF251" s="37">
        <v>105.3</v>
      </c>
      <c r="BG251" s="42"/>
      <c r="BH251" s="42">
        <v>293.67112500000002</v>
      </c>
      <c r="BI251" s="42"/>
      <c r="BJ251" s="42"/>
      <c r="BK251" s="44">
        <v>293.67112500000002</v>
      </c>
      <c r="BL251" s="44">
        <v>109.75</v>
      </c>
      <c r="BM251" s="44">
        <f>+BK251+BL251</f>
        <v>403.42112500000002</v>
      </c>
      <c r="BN251" s="47">
        <v>209.76508928571428</v>
      </c>
      <c r="BO251" s="47">
        <v>78.392857142857139</v>
      </c>
      <c r="BP251" s="45">
        <v>288.15794642857145</v>
      </c>
      <c r="BQ251" s="9">
        <v>1400</v>
      </c>
      <c r="BR251" s="4"/>
      <c r="BS251" s="4"/>
      <c r="BT251" s="4"/>
      <c r="BU251" s="4"/>
      <c r="BV251" s="4"/>
      <c r="BW251" s="4"/>
      <c r="BX251" s="4"/>
      <c r="BY251" s="9">
        <f>+INT(BK251*faktorji!$B$6)</f>
        <v>36708</v>
      </c>
      <c r="BZ251" s="9">
        <f>+INT(BL251*faktorji!$B$4)</f>
        <v>18108</v>
      </c>
      <c r="CA251" s="3" t="s">
        <v>1300</v>
      </c>
      <c r="CB251" s="4">
        <v>1</v>
      </c>
      <c r="CC251" s="4">
        <v>0</v>
      </c>
      <c r="CD251" s="4">
        <v>0</v>
      </c>
      <c r="CE251" s="4">
        <v>0</v>
      </c>
      <c r="CF251" s="4">
        <v>1</v>
      </c>
      <c r="CG251" s="4">
        <v>1</v>
      </c>
      <c r="CH251" s="4">
        <v>1</v>
      </c>
      <c r="CI251" s="9">
        <f>+BQ251*(CB251*faktorji!$B$21+'MOL_tabela rezultatov'!CF257*faktorji!$B$23+'MOL_tabela rezultatov'!CH257*faktorji!$B$26)+faktorji!$B$27*CG251</f>
        <v>62100</v>
      </c>
      <c r="CJ251" s="9">
        <f>+(BZ251*CF251*faktorji!$B$18)+(CG251*faktorji!$B$17*('MOL_tabela rezultatov'!BY257+'MOL_tabela rezultatov'!BZ257))+('MOL_tabela rezultatov'!CH257*faktorji!$B$16*'MOL_tabela rezultatov'!BY257)+('MOL_tabela rezultatov'!CB257*faktorji!$B$12*'MOL_tabela rezultatov'!BY257)</f>
        <v>4852.1000000000004</v>
      </c>
      <c r="CK251" s="66">
        <f>+CI251/CJ251</f>
        <v>12.79858205725356</v>
      </c>
      <c r="CL251" s="3" t="str">
        <f>CONCATENATE(IF(CB251&gt;0,"kotlovnica/toplotna postaja, ",""),IF(CF251&gt;0,"razsvetljava, ",""),IF(CG251&gt;0,"energetsko upravljanje, ",""),IF(CH251&gt;0,"manjši investicijski in organizacijski ukrepi, ",""))</f>
        <v xml:space="preserve">kotlovnica/toplotna postaja, razsvetljava, energetsko upravljanje, manjši investicijski in organizacijski ukrepi, </v>
      </c>
      <c r="CM251" s="9">
        <f>+CJ251*0.9</f>
        <v>4366.8900000000003</v>
      </c>
      <c r="CN251" s="9">
        <f>+CJ251*0.9</f>
        <v>4366.8900000000003</v>
      </c>
      <c r="CO251" s="9">
        <f>+CJ251*0.9</f>
        <v>4366.8900000000003</v>
      </c>
      <c r="CP251" s="69">
        <f>+IF(CI251-SUM(CM251:CO251)&lt;0,0,CI251-SUM(CM251:CO251))</f>
        <v>48999.33</v>
      </c>
      <c r="CQ251" s="9">
        <f>+(BQ251*CE251*faktorji!$B$24)+(BQ251^0.5*CC251*4*4*0.66*faktorji!$B$22)+(BQ251^0.5*CD251*4*4*0.33*faktorji!$B$25)</f>
        <v>0</v>
      </c>
      <c r="CR251" s="3" t="str">
        <f t="shared" si="221"/>
        <v/>
      </c>
      <c r="CS251" s="9">
        <f>+BQ251*('MOL_tabela rezultatov'!CH251*faktorji!$B$26)+faktorji!$B$27*CG251</f>
        <v>20100</v>
      </c>
      <c r="CT251" s="3" t="str">
        <f t="shared" si="219"/>
        <v xml:space="preserve">energetsko upravljanje, manjši investicijski in organizacijski ukrepi, </v>
      </c>
      <c r="CU251" s="9">
        <f t="shared" si="190"/>
        <v>5025</v>
      </c>
      <c r="CV251" s="9">
        <f t="shared" ref="CV251:CX251" si="231">+CU251</f>
        <v>5025</v>
      </c>
      <c r="CW251" s="9">
        <f t="shared" si="231"/>
        <v>5025</v>
      </c>
      <c r="CX251" s="69">
        <f t="shared" si="231"/>
        <v>5025</v>
      </c>
    </row>
    <row r="252" spans="1:102" s="10" customFormat="1" ht="18" hidden="1" customHeight="1">
      <c r="A252" s="54" t="s">
        <v>52</v>
      </c>
      <c r="B252" s="3" t="s">
        <v>53</v>
      </c>
      <c r="C252" s="56"/>
      <c r="D252" s="56"/>
      <c r="E252" s="51" t="s">
        <v>1168</v>
      </c>
      <c r="F252" s="51" t="s">
        <v>1255</v>
      </c>
      <c r="G252" s="51">
        <v>2</v>
      </c>
      <c r="H252" s="51"/>
      <c r="I252" s="51"/>
      <c r="J252" s="51">
        <v>4</v>
      </c>
      <c r="K252" s="37" t="s">
        <v>1244</v>
      </c>
      <c r="L252" s="50"/>
      <c r="M252" s="4" t="s">
        <v>5</v>
      </c>
      <c r="N252" s="25">
        <v>34.6916769551828</v>
      </c>
      <c r="O252" s="25"/>
      <c r="P252" s="25"/>
      <c r="Q252" s="25"/>
      <c r="R252" s="25"/>
      <c r="S252" s="25"/>
      <c r="T252" s="25">
        <v>20.079999999999998</v>
      </c>
      <c r="U252" s="25">
        <v>54.771676955182798</v>
      </c>
      <c r="V252" s="30">
        <v>97.579939741471478</v>
      </c>
      <c r="W252" s="30">
        <v>168.58624237138108</v>
      </c>
      <c r="X252" s="31"/>
      <c r="Y252" s="31"/>
      <c r="Z252" s="31"/>
      <c r="AA252" s="31"/>
      <c r="AB252" s="31"/>
      <c r="AC252" s="31">
        <v>21.31</v>
      </c>
      <c r="AD252" s="31"/>
      <c r="AE252" s="32">
        <v>0</v>
      </c>
      <c r="AF252" s="1"/>
      <c r="AG252" s="4"/>
      <c r="AH252" s="4" t="s">
        <v>17</v>
      </c>
      <c r="AI252" s="6">
        <v>205.78</v>
      </c>
      <c r="AJ252" s="38">
        <v>100</v>
      </c>
      <c r="AK252" s="3" t="s">
        <v>54</v>
      </c>
      <c r="AL252" s="1" t="s">
        <v>26</v>
      </c>
      <c r="AM252" s="37"/>
      <c r="AN252" s="37"/>
      <c r="AO252" s="37"/>
      <c r="AP252" s="37"/>
      <c r="AQ252" s="37"/>
      <c r="AR252" s="37"/>
      <c r="AS252" s="37"/>
      <c r="AT252" s="37"/>
      <c r="AU252" s="37"/>
      <c r="AV252" s="37"/>
      <c r="AW252" s="37"/>
      <c r="AX252" s="37"/>
      <c r="AY252" s="37"/>
      <c r="AZ252" s="37"/>
      <c r="BA252" s="37"/>
      <c r="BB252" s="37"/>
      <c r="BC252" s="37"/>
      <c r="BD252" s="37"/>
      <c r="BE252" s="37"/>
      <c r="BF252" s="37"/>
      <c r="BG252" s="42">
        <v>47.9</v>
      </c>
      <c r="BH252" s="42"/>
      <c r="BI252" s="42"/>
      <c r="BJ252" s="42"/>
      <c r="BK252" s="44">
        <v>47.9</v>
      </c>
      <c r="BL252" s="44">
        <v>20.079999999999998</v>
      </c>
      <c r="BM252" s="44">
        <f>+BK252+BL252</f>
        <v>67.97999999999999</v>
      </c>
      <c r="BN252" s="47">
        <v>232.77286422392848</v>
      </c>
      <c r="BO252" s="47">
        <v>97.579939741471478</v>
      </c>
      <c r="BP252" s="45">
        <v>330.35280396539986</v>
      </c>
      <c r="BQ252" s="9">
        <v>205.78</v>
      </c>
      <c r="BR252" s="4"/>
      <c r="BS252" s="4"/>
      <c r="BT252" s="4"/>
      <c r="BU252" s="4"/>
      <c r="BV252" s="4"/>
      <c r="BW252" s="4"/>
      <c r="BX252" s="4"/>
      <c r="BY252" s="9">
        <f>+INT(BK252*faktorji!$B$3)</f>
        <v>3113</v>
      </c>
      <c r="BZ252" s="9">
        <f>+INT(BL252*faktorji!$B$4)</f>
        <v>3313</v>
      </c>
      <c r="CA252" s="3" t="s">
        <v>1313</v>
      </c>
      <c r="CB252" s="4">
        <v>0</v>
      </c>
      <c r="CC252" s="4">
        <v>0</v>
      </c>
      <c r="CD252" s="4">
        <v>0</v>
      </c>
      <c r="CE252" s="4">
        <v>0</v>
      </c>
      <c r="CF252" s="4">
        <v>0</v>
      </c>
      <c r="CG252" s="4">
        <v>1</v>
      </c>
      <c r="CH252" s="4">
        <v>1</v>
      </c>
      <c r="CI252" s="9">
        <f>+BQ252*(CB252*faktorji!$B$21+'MOL_tabela rezultatov'!CF15*faktorji!$B$23+'MOL_tabela rezultatov'!CH15*faktorji!$B$26)+faktorji!$B$27*CG252</f>
        <v>18308.669999999998</v>
      </c>
      <c r="CJ252" s="9">
        <f>+(BZ252*CF252*faktorji!$B$18)+(CG252*faktorji!$B$17*('MOL_tabela rezultatov'!BY15+'MOL_tabela rezultatov'!BZ15))+('MOL_tabela rezultatov'!CH15*faktorji!$B$16*'MOL_tabela rezultatov'!BY15)+('MOL_tabela rezultatov'!CB15*faktorji!$B$12*'MOL_tabela rezultatov'!BY15)</f>
        <v>1043.4000000000001</v>
      </c>
      <c r="CK252" s="66">
        <f>+CI252/CJ252</f>
        <v>17.547124784358825</v>
      </c>
      <c r="CL252" s="3" t="str">
        <f>CONCATENATE(IF(CB252&gt;0,"kotlovnica/toplotna postaja, ",""),IF(CF252&gt;0,"razsvetljava, ",""),IF(CG252&gt;0,"energetsko upravljanje, ",""),IF(CH252&gt;0,"manjši investicijski in organizacijski ukrepi, ",""))</f>
        <v xml:space="preserve">energetsko upravljanje, manjši investicijski in organizacijski ukrepi, </v>
      </c>
      <c r="CM252" s="9">
        <f>+CJ252*0.9</f>
        <v>939.06000000000006</v>
      </c>
      <c r="CN252" s="9">
        <f>+CJ252*0.9</f>
        <v>939.06000000000006</v>
      </c>
      <c r="CO252" s="9">
        <f>+CJ252*0.9</f>
        <v>939.06000000000006</v>
      </c>
      <c r="CP252" s="69">
        <f>+IF(CI252-SUM(CM252:CO252)&lt;0,0,CI252-SUM(CM252:CO252))</f>
        <v>15491.489999999998</v>
      </c>
      <c r="CQ252" s="9">
        <f>+(BQ252*CE252*faktorji!$B$24)+(BQ252^0.5*CC252*4*4*0.66*faktorji!$B$22)+(BQ252^0.5*CD252*4*4*0.33*faktorji!$B$25)</f>
        <v>0</v>
      </c>
      <c r="CR252" s="3" t="str">
        <f t="shared" si="221"/>
        <v/>
      </c>
      <c r="CS252" s="9">
        <f>+BQ252*('MOL_tabela rezultatov'!CH252*faktorji!$B$26)+faktorji!$B$27*CG252</f>
        <v>18308.669999999998</v>
      </c>
      <c r="CT252" s="3" t="str">
        <f t="shared" si="219"/>
        <v xml:space="preserve">energetsko upravljanje, manjši investicijski in organizacijski ukrepi, </v>
      </c>
      <c r="CU252" s="9">
        <f t="shared" si="190"/>
        <v>4577.1674999999996</v>
      </c>
      <c r="CV252" s="9">
        <f t="shared" ref="CV252:CX252" si="232">+CU252</f>
        <v>4577.1674999999996</v>
      </c>
      <c r="CW252" s="9">
        <f t="shared" si="232"/>
        <v>4577.1674999999996</v>
      </c>
      <c r="CX252" s="69">
        <f t="shared" si="232"/>
        <v>4577.1674999999996</v>
      </c>
    </row>
    <row r="253" spans="1:102" s="10" customFormat="1" ht="18" hidden="1" customHeight="1">
      <c r="A253" s="53" t="s">
        <v>248</v>
      </c>
      <c r="B253" s="2" t="s">
        <v>253</v>
      </c>
      <c r="C253" s="57"/>
      <c r="D253" s="57"/>
      <c r="E253" s="51" t="s">
        <v>1173</v>
      </c>
      <c r="F253" s="51"/>
      <c r="G253" s="51">
        <v>3</v>
      </c>
      <c r="H253" s="51"/>
      <c r="I253" s="51"/>
      <c r="J253" s="51">
        <v>7</v>
      </c>
      <c r="K253" s="37" t="s">
        <v>1241</v>
      </c>
      <c r="L253" s="50"/>
      <c r="M253" s="4" t="s">
        <v>5</v>
      </c>
      <c r="N253" s="25">
        <v>25.88</v>
      </c>
      <c r="O253" s="25"/>
      <c r="P253" s="25"/>
      <c r="Q253" s="25"/>
      <c r="R253" s="25"/>
      <c r="S253" s="25"/>
      <c r="T253" s="25">
        <v>1.33</v>
      </c>
      <c r="U253" s="25">
        <v>27.21</v>
      </c>
      <c r="V253" s="30">
        <v>7.348066298342542</v>
      </c>
      <c r="W253" s="30">
        <v>142.98342541436463</v>
      </c>
      <c r="X253" s="31">
        <v>32.159999999999997</v>
      </c>
      <c r="Y253" s="31"/>
      <c r="Z253" s="31"/>
      <c r="AA253" s="31"/>
      <c r="AB253" s="31"/>
      <c r="AC253" s="31">
        <v>1.36</v>
      </c>
      <c r="AD253" s="31"/>
      <c r="AE253" s="32">
        <v>177.67955801104969</v>
      </c>
      <c r="AF253" s="1"/>
      <c r="AG253" s="4"/>
      <c r="AH253" s="4"/>
      <c r="AI253" s="6">
        <v>181</v>
      </c>
      <c r="AJ253" s="38">
        <v>100</v>
      </c>
      <c r="AK253" s="3"/>
      <c r="AL253" s="1"/>
      <c r="AM253" s="37"/>
      <c r="AN253" s="37"/>
      <c r="AO253" s="37"/>
      <c r="AP253" s="37"/>
      <c r="AQ253" s="37"/>
      <c r="AR253" s="37"/>
      <c r="AS253" s="37"/>
      <c r="AT253" s="37"/>
      <c r="AU253" s="37"/>
      <c r="AV253" s="37"/>
      <c r="AW253" s="37"/>
      <c r="AX253" s="37"/>
      <c r="AY253" s="37"/>
      <c r="AZ253" s="37"/>
      <c r="BA253" s="37"/>
      <c r="BB253" s="37"/>
      <c r="BC253" s="37"/>
      <c r="BD253" s="37"/>
      <c r="BE253" s="37"/>
      <c r="BF253" s="37"/>
      <c r="BG253" s="42">
        <v>25.88</v>
      </c>
      <c r="BH253" s="42"/>
      <c r="BI253" s="42"/>
      <c r="BJ253" s="42"/>
      <c r="BK253" s="44">
        <v>25.88</v>
      </c>
      <c r="BL253" s="44">
        <v>1.33</v>
      </c>
      <c r="BM253" s="44">
        <f>+BK253+BL253</f>
        <v>27.21</v>
      </c>
      <c r="BN253" s="47">
        <v>142.98342541436463</v>
      </c>
      <c r="BO253" s="47">
        <v>7.3480662983425411</v>
      </c>
      <c r="BP253" s="45">
        <v>150.33149171270719</v>
      </c>
      <c r="BQ253" s="9">
        <v>181</v>
      </c>
      <c r="BR253" s="4"/>
      <c r="BS253" s="4"/>
      <c r="BT253" s="4"/>
      <c r="BU253" s="4"/>
      <c r="BV253" s="4"/>
      <c r="BW253" s="4"/>
      <c r="BX253" s="4"/>
      <c r="BY253" s="9">
        <f>+INT(BK253*faktorji!$B$3)</f>
        <v>1682</v>
      </c>
      <c r="BZ253" s="9">
        <f>+INT(BL253*faktorji!$B$4)</f>
        <v>219</v>
      </c>
      <c r="CA253" s="4"/>
      <c r="CB253" s="4">
        <v>0</v>
      </c>
      <c r="CC253" s="4">
        <v>0</v>
      </c>
      <c r="CD253" s="4">
        <v>0</v>
      </c>
      <c r="CE253" s="4">
        <v>0</v>
      </c>
      <c r="CF253" s="4">
        <v>1</v>
      </c>
      <c r="CG253" s="4">
        <v>1</v>
      </c>
      <c r="CH253" s="4">
        <v>1</v>
      </c>
      <c r="CI253" s="9" t="e">
        <f>+BQ253*(CB253*faktorji!$B$21+'MOL_tabela rezultatov'!#REF!*faktorji!$B$23+'MOL_tabela rezultatov'!#REF!*faktorji!$B$26)+faktorji!$B$27*CG253</f>
        <v>#REF!</v>
      </c>
      <c r="CJ253" s="9" t="e">
        <f>+(BZ253*CF253*faktorji!$B$18)+(CG253*faktorji!$B$17*('MOL_tabela rezultatov'!#REF!+'MOL_tabela rezultatov'!#REF!))+('MOL_tabela rezultatov'!#REF!*faktorji!$B$16*'MOL_tabela rezultatov'!#REF!)+('MOL_tabela rezultatov'!#REF!*faktorji!$B$12*'MOL_tabela rezultatov'!#REF!)</f>
        <v>#REF!</v>
      </c>
      <c r="CK253" s="66" t="e">
        <f>+CI253/CJ253</f>
        <v>#REF!</v>
      </c>
      <c r="CL253" s="3" t="str">
        <f>CONCATENATE(IF(CB253&gt;0,"kotlovnica/toplotna postaja, ",""),IF(CF253&gt;0,"razsvetljava, ",""),IF(CG253&gt;0,"energetsko upravljanje, ",""),IF(CH253&gt;0,"manjši investicijski in organizacijski ukrepi, ",""))</f>
        <v xml:space="preserve">razsvetljava, energetsko upravljanje, manjši investicijski in organizacijski ukrepi, </v>
      </c>
      <c r="CM253" s="9" t="e">
        <f>+CJ253*0.9</f>
        <v>#REF!</v>
      </c>
      <c r="CN253" s="9" t="e">
        <f>+CJ253*0.9</f>
        <v>#REF!</v>
      </c>
      <c r="CO253" s="9" t="e">
        <f>+CJ253*0.9</f>
        <v>#REF!</v>
      </c>
      <c r="CP253" s="69" t="e">
        <f>+IF(CI253-SUM(CM253:CO253)&lt;0,0,CI253-SUM(CM253:CO253))</f>
        <v>#REF!</v>
      </c>
      <c r="CQ253" s="9">
        <f>+(BQ253*CE253*faktorji!$B$24)+(BQ253^0.5*CC253*4*4*0.66*faktorji!$B$22)+(BQ253^0.5*CD253*4*4*0.33*faktorji!$B$25)</f>
        <v>0</v>
      </c>
      <c r="CR253" s="3" t="str">
        <f t="shared" si="221"/>
        <v/>
      </c>
      <c r="CS253" s="9">
        <f>+BQ253*('MOL_tabela rezultatov'!CH253*faktorji!$B$26)+faktorji!$B$27*CG253</f>
        <v>18271.5</v>
      </c>
      <c r="CT253" s="3" t="str">
        <f t="shared" si="219"/>
        <v xml:space="preserve">energetsko upravljanje, manjši investicijski in organizacijski ukrepi, </v>
      </c>
      <c r="CU253" s="9">
        <f t="shared" si="190"/>
        <v>4567.875</v>
      </c>
      <c r="CV253" s="9">
        <f t="shared" ref="CV253:CX253" si="233">+CU253</f>
        <v>4567.875</v>
      </c>
      <c r="CW253" s="9">
        <f t="shared" si="233"/>
        <v>4567.875</v>
      </c>
      <c r="CX253" s="69">
        <f t="shared" si="233"/>
        <v>4567.875</v>
      </c>
    </row>
    <row r="254" spans="1:102" s="10" customFormat="1" ht="18" hidden="1" customHeight="1">
      <c r="A254" s="53" t="s">
        <v>630</v>
      </c>
      <c r="B254" s="2" t="s">
        <v>631</v>
      </c>
      <c r="C254" s="57"/>
      <c r="D254" s="57"/>
      <c r="E254" s="51" t="s">
        <v>1176</v>
      </c>
      <c r="F254" s="51"/>
      <c r="G254" s="51" t="s">
        <v>1366</v>
      </c>
      <c r="H254" s="51" t="s">
        <v>1255</v>
      </c>
      <c r="I254" s="79" t="s">
        <v>1334</v>
      </c>
      <c r="J254" s="51">
        <v>1</v>
      </c>
      <c r="K254" s="37" t="s">
        <v>1242</v>
      </c>
      <c r="L254" s="50">
        <v>2014</v>
      </c>
      <c r="M254" s="110" t="s">
        <v>5</v>
      </c>
      <c r="N254" s="25">
        <v>92.88</v>
      </c>
      <c r="O254" s="25"/>
      <c r="P254" s="25"/>
      <c r="Q254" s="25"/>
      <c r="R254" s="25"/>
      <c r="S254" s="25"/>
      <c r="T254" s="25">
        <v>13.746217088525038</v>
      </c>
      <c r="U254" s="25">
        <v>106.62621708852504</v>
      </c>
      <c r="V254" s="30">
        <v>31.819946964178328</v>
      </c>
      <c r="W254" s="30">
        <v>215</v>
      </c>
      <c r="X254" s="31"/>
      <c r="Y254" s="31"/>
      <c r="Z254" s="31"/>
      <c r="AA254" s="31"/>
      <c r="AB254" s="31"/>
      <c r="AC254" s="31"/>
      <c r="AD254" s="31"/>
      <c r="AE254" s="32"/>
      <c r="AF254" s="16"/>
      <c r="AG254" s="3">
        <v>1997</v>
      </c>
      <c r="AH254" s="4"/>
      <c r="AI254" s="6">
        <v>432</v>
      </c>
      <c r="AJ254" s="38">
        <v>100</v>
      </c>
      <c r="AK254" s="3"/>
      <c r="AL254" s="1" t="s">
        <v>421</v>
      </c>
      <c r="AM254" s="37"/>
      <c r="AN254" s="37"/>
      <c r="AO254" s="37"/>
      <c r="AP254" s="37"/>
      <c r="AQ254" s="37"/>
      <c r="AR254" s="37"/>
      <c r="AS254" s="37"/>
      <c r="AT254" s="37"/>
      <c r="AU254" s="37"/>
      <c r="AV254" s="37"/>
      <c r="AW254" s="37"/>
      <c r="AX254" s="37"/>
      <c r="AY254" s="37"/>
      <c r="AZ254" s="37"/>
      <c r="BA254" s="37"/>
      <c r="BB254" s="37"/>
      <c r="BC254" s="37">
        <v>22.2</v>
      </c>
      <c r="BD254" s="37">
        <v>21.3</v>
      </c>
      <c r="BE254" s="37">
        <v>20.7</v>
      </c>
      <c r="BF254" s="37">
        <v>20.6</v>
      </c>
      <c r="BG254" s="42">
        <v>127.7</v>
      </c>
      <c r="BH254" s="42"/>
      <c r="BI254" s="42"/>
      <c r="BJ254" s="42"/>
      <c r="BK254" s="107">
        <v>120</v>
      </c>
      <c r="BL254" s="107">
        <v>16.8</v>
      </c>
      <c r="BM254" s="107">
        <f>+BK254+BL254</f>
        <v>136.80000000000001</v>
      </c>
      <c r="BN254" s="108">
        <f>+BK254*1000/BQ254</f>
        <v>257.51072961373393</v>
      </c>
      <c r="BO254" s="108">
        <f>+BL254*1000/BQ254</f>
        <v>36.051502145922747</v>
      </c>
      <c r="BP254" s="109">
        <f>+BO254+BN254</f>
        <v>293.5622317596567</v>
      </c>
      <c r="BQ254" s="106">
        <v>466</v>
      </c>
      <c r="BR254" s="110">
        <v>65</v>
      </c>
      <c r="BS254" s="110">
        <v>1990</v>
      </c>
      <c r="BT254" s="110" t="s">
        <v>884</v>
      </c>
      <c r="BU254" s="4"/>
      <c r="BV254" s="4"/>
      <c r="BW254" s="4"/>
      <c r="BX254" s="4"/>
      <c r="BY254" s="106">
        <v>8790</v>
      </c>
      <c r="BZ254" s="106">
        <v>2030</v>
      </c>
      <c r="CA254" s="114" t="s">
        <v>1331</v>
      </c>
      <c r="CB254" s="4">
        <v>0</v>
      </c>
      <c r="CC254" s="4">
        <v>0</v>
      </c>
      <c r="CD254" s="4">
        <v>0</v>
      </c>
      <c r="CE254" s="4">
        <v>0</v>
      </c>
      <c r="CF254" s="4">
        <v>0</v>
      </c>
      <c r="CG254" s="4">
        <v>0</v>
      </c>
      <c r="CH254" s="4">
        <v>0</v>
      </c>
      <c r="CI254" s="106">
        <v>30000</v>
      </c>
      <c r="CJ254" s="9"/>
      <c r="CK254" s="9"/>
      <c r="CL254" s="3" t="str">
        <f>CONCATENATE(IF(CB254&gt;0,"kotlovnica/toplotna postaja, ",""),IF(CF254&gt;0,"razsvetljava, ",""),IF(CG254&gt;0,"energetsko upravljanje, ",""),IF(CH254&gt;0,"manjši investicijski in organizacijski ukrepi, ",""))</f>
        <v/>
      </c>
      <c r="CM254" s="9">
        <f>+CJ254*0.9</f>
        <v>0</v>
      </c>
      <c r="CN254" s="9">
        <f>+CJ254*0.9</f>
        <v>0</v>
      </c>
      <c r="CO254" s="9">
        <f>+CJ254*0.9</f>
        <v>0</v>
      </c>
      <c r="CP254" s="69">
        <f>+IF(CI254-SUM(CM254:CO254)&lt;0,0,CI254-SUM(CM254:CO254))</f>
        <v>30000</v>
      </c>
      <c r="CQ254" s="9">
        <f>+(BQ254*CE254*faktorji!$B$24)+(BQ254^0.5*CC254*4*4*0.66*faktorji!$B$22)+(BQ254^0.5*CD254*4*4*0.33*faktorji!$B$25)</f>
        <v>0</v>
      </c>
      <c r="CR254" s="3" t="str">
        <f t="shared" si="221"/>
        <v/>
      </c>
      <c r="CS254" s="9">
        <f>+BQ254*('MOL_tabela rezultatov'!CH254*faktorji!$B$26)+faktorji!$B$27*CG254</f>
        <v>0</v>
      </c>
      <c r="CT254" s="3" t="str">
        <f t="shared" si="219"/>
        <v/>
      </c>
      <c r="CU254" s="9">
        <f t="shared" si="190"/>
        <v>0</v>
      </c>
      <c r="CV254" s="9">
        <f t="shared" ref="CV254:CX254" si="234">+CU254</f>
        <v>0</v>
      </c>
      <c r="CW254" s="9">
        <f t="shared" si="234"/>
        <v>0</v>
      </c>
      <c r="CX254" s="69">
        <f t="shared" si="234"/>
        <v>0</v>
      </c>
    </row>
    <row r="255" spans="1:102" s="10" customFormat="1" ht="18" hidden="1" customHeight="1">
      <c r="A255" s="53" t="s">
        <v>500</v>
      </c>
      <c r="B255" s="2" t="s">
        <v>501</v>
      </c>
      <c r="C255" s="57"/>
      <c r="D255" s="57"/>
      <c r="E255" s="51" t="s">
        <v>1175</v>
      </c>
      <c r="F255" s="51"/>
      <c r="G255" s="51">
        <v>3</v>
      </c>
      <c r="H255" s="51"/>
      <c r="I255" s="51"/>
      <c r="J255" s="51">
        <v>7</v>
      </c>
      <c r="K255" s="37" t="s">
        <v>1243</v>
      </c>
      <c r="L255" s="50"/>
      <c r="M255" s="4" t="s">
        <v>6</v>
      </c>
      <c r="N255" s="25"/>
      <c r="O255" s="28">
        <v>38.531999999999996</v>
      </c>
      <c r="P255" s="25"/>
      <c r="Q255" s="25"/>
      <c r="R255" s="25"/>
      <c r="S255" s="25"/>
      <c r="T255" s="25">
        <v>17.8</v>
      </c>
      <c r="U255" s="25">
        <v>56.331999999999994</v>
      </c>
      <c r="V255" s="30">
        <v>21.115065243179121</v>
      </c>
      <c r="W255" s="30">
        <v>45.708185053380781</v>
      </c>
      <c r="X255" s="31"/>
      <c r="Y255" s="31"/>
      <c r="Z255" s="31"/>
      <c r="AA255" s="31"/>
      <c r="AB255" s="31"/>
      <c r="AC255" s="31"/>
      <c r="AD255" s="31"/>
      <c r="AE255" s="32"/>
      <c r="AF255" s="16"/>
      <c r="AG255" s="3"/>
      <c r="AH255" s="4"/>
      <c r="AI255" s="6">
        <v>843</v>
      </c>
      <c r="AJ255" s="38">
        <v>100</v>
      </c>
      <c r="AK255" s="3"/>
      <c r="AL255" s="1"/>
      <c r="AM255" s="37"/>
      <c r="AN255" s="37"/>
      <c r="AO255" s="37"/>
      <c r="AP255" s="37"/>
      <c r="AQ255" s="39"/>
      <c r="AR255" s="39"/>
      <c r="AS255" s="39"/>
      <c r="AT255" s="39"/>
      <c r="AU255" s="37">
        <v>203.5</v>
      </c>
      <c r="AV255" s="37">
        <v>170</v>
      </c>
      <c r="AW255" s="37">
        <v>183.7</v>
      </c>
      <c r="AX255" s="37">
        <v>181.1</v>
      </c>
      <c r="AY255" s="37"/>
      <c r="AZ255" s="37"/>
      <c r="BA255" s="37"/>
      <c r="BB255" s="37"/>
      <c r="BC255" s="37">
        <v>17.3</v>
      </c>
      <c r="BD255" s="37">
        <v>17.5</v>
      </c>
      <c r="BE255" s="37">
        <v>17.5</v>
      </c>
      <c r="BF255" s="37">
        <v>16.399999999999999</v>
      </c>
      <c r="BG255" s="42"/>
      <c r="BH255" s="42"/>
      <c r="BI255" s="42">
        <v>184.57499999999999</v>
      </c>
      <c r="BJ255" s="42"/>
      <c r="BK255" s="44">
        <v>184.57499999999999</v>
      </c>
      <c r="BL255" s="44">
        <v>17.174999999999997</v>
      </c>
      <c r="BM255" s="44">
        <f>+BK255+BL255</f>
        <v>201.75</v>
      </c>
      <c r="BN255" s="47">
        <v>269.45255474452557</v>
      </c>
      <c r="BO255" s="47">
        <v>25.072992700729923</v>
      </c>
      <c r="BP255" s="45">
        <v>294.52554744525548</v>
      </c>
      <c r="BQ255" s="9">
        <v>685</v>
      </c>
      <c r="BR255" s="4">
        <v>80</v>
      </c>
      <c r="BS255" s="4">
        <v>1995</v>
      </c>
      <c r="BT255" s="4" t="s">
        <v>872</v>
      </c>
      <c r="BU255" s="4"/>
      <c r="BV255" s="4" t="s">
        <v>1031</v>
      </c>
      <c r="BW255" s="4"/>
      <c r="BX255" s="4"/>
      <c r="BY255" s="9">
        <f>+INT(BK255*faktorji!$B$5)</f>
        <v>17534</v>
      </c>
      <c r="BZ255" s="9">
        <f>+INT(BL255*faktorji!$B$4)</f>
        <v>2833</v>
      </c>
      <c r="CA255" s="4"/>
      <c r="CB255" s="4">
        <v>1</v>
      </c>
      <c r="CC255" s="4">
        <v>1</v>
      </c>
      <c r="CD255" s="4">
        <v>1</v>
      </c>
      <c r="CE255" s="4">
        <v>1</v>
      </c>
      <c r="CF255" s="4">
        <v>1</v>
      </c>
      <c r="CG255" s="4">
        <v>1</v>
      </c>
      <c r="CH255" s="4">
        <v>1</v>
      </c>
      <c r="CI255" s="9">
        <f>+BQ255*(CB255*faktorji!$B$21+'MOL_tabela rezultatov'!CF192*faktorji!$B$23+'MOL_tabela rezultatov'!CH192*faktorji!$B$26)+faktorji!$B$27*CG255</f>
        <v>29302.5</v>
      </c>
      <c r="CJ255" s="9">
        <f>+(BZ255*CF255*faktorji!$B$18)+(CG255*faktorji!$B$17*('MOL_tabela rezultatov'!BY192+'MOL_tabela rezultatov'!BZ192))+('MOL_tabela rezultatov'!CH192*faktorji!$B$16*'MOL_tabela rezultatov'!BY192)+('MOL_tabela rezultatov'!CB192*faktorji!$B$12*'MOL_tabela rezultatov'!BY192)</f>
        <v>1612.25</v>
      </c>
      <c r="CK255" s="66">
        <f>+CI255/CJ255</f>
        <v>18.174910838889751</v>
      </c>
      <c r="CL255" s="3" t="str">
        <f>CONCATENATE(IF(CB255&gt;0,"kotlovnica/toplotna postaja, ",""),IF(CF255&gt;0,"razsvetljava, ",""),IF(CG255&gt;0,"energetsko upravljanje, ",""),IF(CH255&gt;0,"manjši investicijski in organizacijski ukrepi, ",""))</f>
        <v xml:space="preserve">kotlovnica/toplotna postaja, razsvetljava, energetsko upravljanje, manjši investicijski in organizacijski ukrepi, </v>
      </c>
      <c r="CM255" s="9">
        <f>+CJ255*0.9</f>
        <v>1451.0250000000001</v>
      </c>
      <c r="CN255" s="9">
        <f>+CJ255*0.9</f>
        <v>1451.0250000000001</v>
      </c>
      <c r="CO255" s="9">
        <f>+CJ255*0.9</f>
        <v>1451.0250000000001</v>
      </c>
      <c r="CP255" s="69">
        <f>+IF(CI255-SUM(CM255:CO255)&lt;0,0,CI255-SUM(CM255:CO255))</f>
        <v>24949.424999999999</v>
      </c>
      <c r="CQ255" s="9">
        <f>+(BQ255*CE255*faktorji!$B$24)+(BQ255^0.5*CC255*4*4*0.66*faktorji!$B$22)+(BQ255^0.5*CD255*4*4*0.33*faktorji!$B$25)</f>
        <v>67594.421588880607</v>
      </c>
      <c r="CR255" s="3" t="str">
        <f t="shared" si="221"/>
        <v xml:space="preserve">izolacija ovoja, stavbno pohištvo, izolacija podstrešja, </v>
      </c>
      <c r="CS255" s="9">
        <f>+BQ255*('MOL_tabela rezultatov'!CH255*faktorji!$B$26)+faktorji!$B$27*CG255</f>
        <v>19027.5</v>
      </c>
      <c r="CT255" s="3" t="str">
        <f t="shared" si="219"/>
        <v xml:space="preserve">energetsko upravljanje, manjši investicijski in organizacijski ukrepi, </v>
      </c>
      <c r="CU255" s="9">
        <f t="shared" si="190"/>
        <v>4756.875</v>
      </c>
      <c r="CV255" s="9">
        <f t="shared" ref="CV255:CX255" si="235">+CU255</f>
        <v>4756.875</v>
      </c>
      <c r="CW255" s="9">
        <f t="shared" si="235"/>
        <v>4756.875</v>
      </c>
      <c r="CX255" s="69">
        <f t="shared" si="235"/>
        <v>4756.875</v>
      </c>
    </row>
    <row r="256" spans="1:102" s="10" customFormat="1" ht="18" hidden="1" customHeight="1">
      <c r="A256" s="53" t="s">
        <v>758</v>
      </c>
      <c r="B256" s="2" t="s">
        <v>759</v>
      </c>
      <c r="C256" s="57"/>
      <c r="D256" s="57"/>
      <c r="E256" s="51" t="s">
        <v>1176</v>
      </c>
      <c r="F256" s="51"/>
      <c r="G256" s="51">
        <v>3</v>
      </c>
      <c r="H256" s="51"/>
      <c r="I256" s="51"/>
      <c r="J256" s="51">
        <v>7</v>
      </c>
      <c r="K256" s="37" t="s">
        <v>1242</v>
      </c>
      <c r="L256" s="50"/>
      <c r="M256" s="4" t="s">
        <v>5</v>
      </c>
      <c r="N256" s="28">
        <v>50</v>
      </c>
      <c r="O256" s="25"/>
      <c r="P256" s="25"/>
      <c r="Q256" s="25"/>
      <c r="R256" s="25"/>
      <c r="S256" s="25"/>
      <c r="T256" s="25">
        <v>3.3929999999999998</v>
      </c>
      <c r="U256" s="25">
        <v>53.393000000000001</v>
      </c>
      <c r="V256" s="30">
        <v>11.088235294117647</v>
      </c>
      <c r="W256" s="30">
        <v>163.3986928104575</v>
      </c>
      <c r="X256" s="31"/>
      <c r="Y256" s="31"/>
      <c r="Z256" s="31"/>
      <c r="AA256" s="31"/>
      <c r="AB256" s="31"/>
      <c r="AC256" s="31"/>
      <c r="AD256" s="31"/>
      <c r="AE256" s="32"/>
      <c r="AF256" s="16" t="s">
        <v>468</v>
      </c>
      <c r="AG256" s="3" t="s">
        <v>760</v>
      </c>
      <c r="AH256" s="4"/>
      <c r="AI256" s="6">
        <v>306</v>
      </c>
      <c r="AJ256" s="38">
        <v>100</v>
      </c>
      <c r="AK256" s="3"/>
      <c r="AL256" s="1" t="s">
        <v>761</v>
      </c>
      <c r="AM256" s="39">
        <v>57.6</v>
      </c>
      <c r="AN256" s="39">
        <v>50.4</v>
      </c>
      <c r="AO256" s="39">
        <v>44.1</v>
      </c>
      <c r="AP256" s="39">
        <v>32.6</v>
      </c>
      <c r="AQ256" s="37"/>
      <c r="AR256" s="37"/>
      <c r="AS256" s="37"/>
      <c r="AT256" s="37"/>
      <c r="AU256" s="37"/>
      <c r="AV256" s="37"/>
      <c r="AW256" s="37"/>
      <c r="AX256" s="37"/>
      <c r="AY256" s="37"/>
      <c r="AZ256" s="37"/>
      <c r="BA256" s="37"/>
      <c r="BB256" s="37"/>
      <c r="BC256" s="37"/>
      <c r="BD256" s="37"/>
      <c r="BE256" s="37"/>
      <c r="BF256" s="37"/>
      <c r="BG256" s="42">
        <v>46.174999999999997</v>
      </c>
      <c r="BH256" s="42"/>
      <c r="BI256" s="42"/>
      <c r="BJ256" s="42"/>
      <c r="BK256" s="44">
        <v>46.174999999999997</v>
      </c>
      <c r="BL256" s="44">
        <v>3.39</v>
      </c>
      <c r="BM256" s="44">
        <f>+BK256+BL256</f>
        <v>49.564999999999998</v>
      </c>
      <c r="BN256" s="47">
        <v>146.5873015873016</v>
      </c>
      <c r="BO256" s="47">
        <v>10.761904761904763</v>
      </c>
      <c r="BP256" s="45">
        <v>157.34920634920636</v>
      </c>
      <c r="BQ256" s="9">
        <v>315</v>
      </c>
      <c r="BR256" s="4">
        <v>56</v>
      </c>
      <c r="BS256" s="4">
        <v>1982</v>
      </c>
      <c r="BT256" s="4" t="s">
        <v>943</v>
      </c>
      <c r="BU256" s="4"/>
      <c r="BV256" s="1" t="s">
        <v>939</v>
      </c>
      <c r="BW256" s="4"/>
      <c r="BX256" s="4"/>
      <c r="BY256" s="9">
        <f>+INT(BK256*faktorji!$B$3)</f>
        <v>3001</v>
      </c>
      <c r="BZ256" s="9">
        <f>+INT(BL256*faktorji!$B$4)</f>
        <v>559</v>
      </c>
      <c r="CA256" s="4"/>
      <c r="CB256" s="4">
        <v>1</v>
      </c>
      <c r="CC256" s="4">
        <v>1</v>
      </c>
      <c r="CD256" s="4">
        <v>1</v>
      </c>
      <c r="CE256" s="4">
        <v>1</v>
      </c>
      <c r="CF256" s="4">
        <v>1</v>
      </c>
      <c r="CG256" s="4">
        <v>1</v>
      </c>
      <c r="CH256" s="4">
        <v>1</v>
      </c>
      <c r="CI256" s="9">
        <f>+BQ256*(CB256*faktorji!$B$21+'MOL_tabela rezultatov'!CF276*faktorji!$B$23+'MOL_tabela rezultatov'!CH276*faktorji!$B$26)+faktorji!$B$27*CG256</f>
        <v>23197.5</v>
      </c>
      <c r="CJ256" s="9">
        <f>+(BZ256*CF256*faktorji!$B$18)+(CG256*faktorji!$B$17*('MOL_tabela rezultatov'!BY276+'MOL_tabela rezultatov'!BZ276))+('MOL_tabela rezultatov'!CH276*faktorji!$B$16*'MOL_tabela rezultatov'!BY276)+('MOL_tabela rezultatov'!CB276*faktorji!$B$12*'MOL_tabela rezultatov'!BY276)</f>
        <v>13387.25</v>
      </c>
      <c r="CK256" s="66">
        <f>+CI256/CJ256</f>
        <v>1.7328054678892229</v>
      </c>
      <c r="CL256" s="3" t="str">
        <f>CONCATENATE(IF(CB256&gt;0,"kotlovnica/toplotna postaja, ",""),IF(CF256&gt;0,"razsvetljava, ",""),IF(CG256&gt;0,"energetsko upravljanje, ",""),IF(CH256&gt;0,"manjši investicijski in organizacijski ukrepi, ",""))</f>
        <v xml:space="preserve">kotlovnica/toplotna postaja, razsvetljava, energetsko upravljanje, manjši investicijski in organizacijski ukrepi, </v>
      </c>
      <c r="CM256" s="9">
        <f>+CJ256*0.9</f>
        <v>12048.525</v>
      </c>
      <c r="CN256" s="9">
        <f>+CJ256*0.9</f>
        <v>12048.525</v>
      </c>
      <c r="CO256" s="9">
        <f>+CJ256*0.9</f>
        <v>12048.525</v>
      </c>
      <c r="CP256" s="69">
        <f>+IF(CI256-SUM(CM256:CO256)&lt;0,0,CI256-SUM(CM256:CO256))</f>
        <v>0</v>
      </c>
      <c r="CQ256" s="9">
        <f>+(BQ256*CE256*faktorji!$B$24)+(BQ256^0.5*CC256*4*4*0.66*faktorji!$B$22)+(BQ256^0.5*CD256*4*4*0.33*faktorji!$B$25)</f>
        <v>42847.174468076191</v>
      </c>
      <c r="CR256" s="3" t="str">
        <f t="shared" si="221"/>
        <v xml:space="preserve">izolacija ovoja, stavbno pohištvo, izolacija podstrešja, </v>
      </c>
      <c r="CS256" s="9">
        <f>+BQ256*('MOL_tabela rezultatov'!CH256*faktorji!$B$26)+faktorji!$B$27*CG256</f>
        <v>18472.5</v>
      </c>
      <c r="CT256" s="3" t="str">
        <f t="shared" si="219"/>
        <v xml:space="preserve">energetsko upravljanje, manjši investicijski in organizacijski ukrepi, </v>
      </c>
      <c r="CU256" s="9">
        <f t="shared" si="190"/>
        <v>4618.125</v>
      </c>
      <c r="CV256" s="9">
        <f t="shared" ref="CV256:CX256" si="236">+CU256</f>
        <v>4618.125</v>
      </c>
      <c r="CW256" s="9">
        <f t="shared" si="236"/>
        <v>4618.125</v>
      </c>
      <c r="CX256" s="69">
        <f t="shared" si="236"/>
        <v>4618.125</v>
      </c>
    </row>
    <row r="257" spans="1:102" s="10" customFormat="1" ht="18" hidden="1" customHeight="1">
      <c r="A257" s="53" t="s">
        <v>701</v>
      </c>
      <c r="B257" s="2" t="s">
        <v>702</v>
      </c>
      <c r="C257" s="57"/>
      <c r="D257" s="57"/>
      <c r="E257" s="51" t="s">
        <v>1176</v>
      </c>
      <c r="F257" s="51"/>
      <c r="G257" s="51">
        <v>3</v>
      </c>
      <c r="H257" s="51"/>
      <c r="I257" s="51"/>
      <c r="J257" s="51">
        <v>7</v>
      </c>
      <c r="K257" s="37" t="s">
        <v>1243</v>
      </c>
      <c r="L257" s="50"/>
      <c r="M257" s="4" t="s">
        <v>6</v>
      </c>
      <c r="N257" s="25"/>
      <c r="O257" s="28">
        <v>86.744500000000002</v>
      </c>
      <c r="P257" s="25"/>
      <c r="Q257" s="25"/>
      <c r="R257" s="25"/>
      <c r="S257" s="25"/>
      <c r="T257" s="25">
        <v>22.577000000000002</v>
      </c>
      <c r="U257" s="25">
        <v>109.3215</v>
      </c>
      <c r="V257" s="30">
        <v>34.733846153846159</v>
      </c>
      <c r="W257" s="30">
        <v>133.45307692307694</v>
      </c>
      <c r="X257" s="31"/>
      <c r="Y257" s="31"/>
      <c r="Z257" s="31"/>
      <c r="AA257" s="31"/>
      <c r="AB257" s="31"/>
      <c r="AC257" s="31"/>
      <c r="AD257" s="31"/>
      <c r="AE257" s="32"/>
      <c r="AF257" s="16" t="s">
        <v>703</v>
      </c>
      <c r="AG257" s="3">
        <v>2002</v>
      </c>
      <c r="AH257" s="4"/>
      <c r="AI257" s="6">
        <v>650</v>
      </c>
      <c r="AJ257" s="38">
        <v>100</v>
      </c>
      <c r="AK257" s="3"/>
      <c r="AL257" s="1" t="s">
        <v>421</v>
      </c>
      <c r="AM257" s="37"/>
      <c r="AN257" s="37"/>
      <c r="AO257" s="37"/>
      <c r="AP257" s="37"/>
      <c r="AQ257" s="37">
        <f>(8236*9.5)/1000</f>
        <v>78.242000000000004</v>
      </c>
      <c r="AR257" s="37">
        <f>(10635*9.5)/1000</f>
        <v>101.0325</v>
      </c>
      <c r="AS257" s="37">
        <f>(10323*9.5)/1000</f>
        <v>98.0685</v>
      </c>
      <c r="AT257" s="37">
        <f>(8792*9.5)/1000</f>
        <v>83.524000000000001</v>
      </c>
      <c r="AU257" s="37"/>
      <c r="AV257" s="37"/>
      <c r="AW257" s="37"/>
      <c r="AX257" s="37"/>
      <c r="AY257" s="37"/>
      <c r="AZ257" s="37"/>
      <c r="BA257" s="37"/>
      <c r="BB257" s="37"/>
      <c r="BC257" s="37">
        <v>24.3</v>
      </c>
      <c r="BD257" s="37">
        <v>26.1</v>
      </c>
      <c r="BE257" s="37">
        <v>26.3</v>
      </c>
      <c r="BF257" s="37">
        <v>25.6</v>
      </c>
      <c r="BG257" s="42"/>
      <c r="BH257" s="42">
        <v>90.21674999999999</v>
      </c>
      <c r="BI257" s="42"/>
      <c r="BJ257" s="42"/>
      <c r="BK257" s="44">
        <v>90.21674999999999</v>
      </c>
      <c r="BL257" s="44">
        <v>25.575000000000003</v>
      </c>
      <c r="BM257" s="44">
        <f>+BK257+BL257</f>
        <v>115.79174999999999</v>
      </c>
      <c r="BN257" s="47">
        <v>138.79499999999999</v>
      </c>
      <c r="BO257" s="47">
        <v>39.346153846153854</v>
      </c>
      <c r="BP257" s="45">
        <v>178.14115384615386</v>
      </c>
      <c r="BQ257" s="9">
        <v>650</v>
      </c>
      <c r="BR257" s="4">
        <v>42</v>
      </c>
      <c r="BS257" s="4">
        <v>2002</v>
      </c>
      <c r="BT257" s="4" t="s">
        <v>872</v>
      </c>
      <c r="BU257" s="4" t="s">
        <v>919</v>
      </c>
      <c r="BV257" s="4"/>
      <c r="BW257" s="4"/>
      <c r="BX257" s="4"/>
      <c r="BY257" s="9">
        <f>+INT(BK257*faktorji!$B$5)</f>
        <v>8570</v>
      </c>
      <c r="BZ257" s="9">
        <f>+INT(BL257*faktorji!$B$4)</f>
        <v>4219</v>
      </c>
      <c r="CA257" s="4"/>
      <c r="CB257" s="4">
        <v>0</v>
      </c>
      <c r="CC257" s="4">
        <v>1</v>
      </c>
      <c r="CD257" s="4">
        <v>1</v>
      </c>
      <c r="CE257" s="4">
        <v>1</v>
      </c>
      <c r="CF257" s="4">
        <v>1</v>
      </c>
      <c r="CG257" s="4">
        <v>1</v>
      </c>
      <c r="CH257" s="4">
        <v>1</v>
      </c>
      <c r="CI257" s="9">
        <f>+BQ257*(CB257*faktorji!$B$21+'MOL_tabela rezultatov'!CF259*faktorji!$B$23+'MOL_tabela rezultatov'!CH259*faktorji!$B$26)+faktorji!$B$27*CG257</f>
        <v>28725</v>
      </c>
      <c r="CJ257" s="9">
        <f>+(BZ257*CF257*faktorji!$B$18)+(CG257*faktorji!$B$17*('MOL_tabela rezultatov'!BY259+'MOL_tabela rezultatov'!BZ259))+('MOL_tabela rezultatov'!CH259*faktorji!$B$16*'MOL_tabela rezultatov'!BY259)+('MOL_tabela rezultatov'!CB259*faktorji!$B$12*'MOL_tabela rezultatov'!BY259)</f>
        <v>1488.25</v>
      </c>
      <c r="CK257" s="66">
        <f>+CI257/CJ257</f>
        <v>19.301192675961701</v>
      </c>
      <c r="CL257" s="3" t="str">
        <f>CONCATENATE(IF(CB257&gt;0,"kotlovnica/toplotna postaja, ",""),IF(CF257&gt;0,"razsvetljava, ",""),IF(CG257&gt;0,"energetsko upravljanje, ",""),IF(CH257&gt;0,"manjši investicijski in organizacijski ukrepi, ",""))</f>
        <v xml:space="preserve">razsvetljava, energetsko upravljanje, manjši investicijski in organizacijski ukrepi, </v>
      </c>
      <c r="CM257" s="9">
        <f>+CJ257*0.9</f>
        <v>1339.425</v>
      </c>
      <c r="CN257" s="9">
        <f>+CJ257*0.9</f>
        <v>1339.425</v>
      </c>
      <c r="CO257" s="9">
        <f>+CJ257*0.9</f>
        <v>1339.425</v>
      </c>
      <c r="CP257" s="69">
        <f>+IF(CI257-SUM(CM257:CO257)&lt;0,0,CI257-SUM(CM257:CO257))</f>
        <v>24706.724999999999</v>
      </c>
      <c r="CQ257" s="9">
        <f>+(BQ257*CE257*faktorji!$B$24)+(BQ257^0.5*CC257*4*4*0.66*faktorji!$B$22)+(BQ257^0.5*CD257*4*4*0.33*faktorji!$B$25)</f>
        <v>65499.504911951321</v>
      </c>
      <c r="CR257" s="3" t="str">
        <f t="shared" si="221"/>
        <v xml:space="preserve">izolacija ovoja, stavbno pohištvo, izolacija podstrešja, </v>
      </c>
      <c r="CS257" s="9">
        <f>+BQ257*('MOL_tabela rezultatov'!CH257*faktorji!$B$26)+faktorji!$B$27*CG257</f>
        <v>18975</v>
      </c>
      <c r="CT257" s="3" t="str">
        <f t="shared" si="219"/>
        <v xml:space="preserve">energetsko upravljanje, manjši investicijski in organizacijski ukrepi, </v>
      </c>
      <c r="CU257" s="9">
        <f t="shared" si="190"/>
        <v>4743.75</v>
      </c>
      <c r="CV257" s="9">
        <f t="shared" ref="CV257:CX257" si="237">+CU257</f>
        <v>4743.75</v>
      </c>
      <c r="CW257" s="9">
        <f t="shared" si="237"/>
        <v>4743.75</v>
      </c>
      <c r="CX257" s="69">
        <f t="shared" si="237"/>
        <v>4743.75</v>
      </c>
    </row>
    <row r="258" spans="1:102" s="10" customFormat="1" ht="18" hidden="1" customHeight="1">
      <c r="A258" s="53" t="s">
        <v>10</v>
      </c>
      <c r="B258" s="3" t="s">
        <v>11</v>
      </c>
      <c r="C258" s="56"/>
      <c r="D258" s="56"/>
      <c r="E258" s="51" t="s">
        <v>1168</v>
      </c>
      <c r="F258" s="51" t="s">
        <v>1255</v>
      </c>
      <c r="G258" s="51">
        <v>2</v>
      </c>
      <c r="H258" s="51"/>
      <c r="I258" s="51"/>
      <c r="J258" s="51">
        <v>4</v>
      </c>
      <c r="K258" s="37" t="s">
        <v>1244</v>
      </c>
      <c r="L258" s="50"/>
      <c r="M258" s="4" t="s">
        <v>5</v>
      </c>
      <c r="N258" s="25">
        <v>30.075785639054384</v>
      </c>
      <c r="O258" s="25"/>
      <c r="P258" s="25"/>
      <c r="Q258" s="25"/>
      <c r="R258" s="25"/>
      <c r="S258" s="25"/>
      <c r="T258" s="25">
        <v>17.149999999999999</v>
      </c>
      <c r="U258" s="25">
        <v>47.225785639054379</v>
      </c>
      <c r="V258" s="30">
        <v>96.132286995515685</v>
      </c>
      <c r="W258" s="30">
        <v>168.58624237138108</v>
      </c>
      <c r="X258" s="31"/>
      <c r="Y258" s="31"/>
      <c r="Z258" s="31"/>
      <c r="AA258" s="31"/>
      <c r="AB258" s="31"/>
      <c r="AC258" s="31">
        <v>19.21</v>
      </c>
      <c r="AD258" s="31">
        <v>19.21</v>
      </c>
      <c r="AE258" s="32">
        <v>0</v>
      </c>
      <c r="AF258" s="1"/>
      <c r="AG258" s="4"/>
      <c r="AH258" s="4" t="s">
        <v>12</v>
      </c>
      <c r="AI258" s="6">
        <v>178.4</v>
      </c>
      <c r="AJ258" s="38">
        <v>100</v>
      </c>
      <c r="AK258" s="3" t="s">
        <v>13</v>
      </c>
      <c r="AL258" s="1" t="s">
        <v>14</v>
      </c>
      <c r="AM258" s="37"/>
      <c r="AN258" s="37"/>
      <c r="AO258" s="37"/>
      <c r="AP258" s="37"/>
      <c r="AQ258" s="37"/>
      <c r="AR258" s="37"/>
      <c r="AS258" s="37"/>
      <c r="AT258" s="37"/>
      <c r="AU258" s="37"/>
      <c r="AV258" s="37"/>
      <c r="AW258" s="37"/>
      <c r="AX258" s="37"/>
      <c r="AY258" s="37"/>
      <c r="AZ258" s="37"/>
      <c r="BA258" s="37"/>
      <c r="BB258" s="37"/>
      <c r="BC258" s="37"/>
      <c r="BD258" s="37"/>
      <c r="BE258" s="37"/>
      <c r="BF258" s="37"/>
      <c r="BG258" s="42">
        <v>10.4</v>
      </c>
      <c r="BH258" s="42"/>
      <c r="BI258" s="42"/>
      <c r="BJ258" s="42"/>
      <c r="BK258" s="44">
        <v>10.4</v>
      </c>
      <c r="BL258" s="44">
        <v>17.149999999999999</v>
      </c>
      <c r="BM258" s="44">
        <f>+BK258+BL258</f>
        <v>27.549999999999997</v>
      </c>
      <c r="BN258" s="47">
        <v>58.426966292134829</v>
      </c>
      <c r="BO258" s="47">
        <v>96.348314606741567</v>
      </c>
      <c r="BP258" s="45">
        <v>154.77528089887639</v>
      </c>
      <c r="BQ258" s="9">
        <v>178</v>
      </c>
      <c r="BR258" s="4"/>
      <c r="BS258" s="4"/>
      <c r="BT258" s="4"/>
      <c r="BU258" s="4"/>
      <c r="BV258" s="4"/>
      <c r="BW258" s="4"/>
      <c r="BX258" s="4"/>
      <c r="BY258" s="9">
        <f>+INT(BK258*faktorji!$B$3)</f>
        <v>676</v>
      </c>
      <c r="BZ258" s="9">
        <f>+INT(BL258*faktorji!$B$4)</f>
        <v>2829</v>
      </c>
      <c r="CA258" s="3" t="s">
        <v>1313</v>
      </c>
      <c r="CB258" s="4">
        <v>0</v>
      </c>
      <c r="CC258" s="4">
        <v>0</v>
      </c>
      <c r="CD258" s="4">
        <v>0</v>
      </c>
      <c r="CE258" s="4">
        <v>0</v>
      </c>
      <c r="CF258" s="4">
        <v>0</v>
      </c>
      <c r="CG258" s="4">
        <v>1</v>
      </c>
      <c r="CH258" s="4">
        <v>1</v>
      </c>
      <c r="CI258" s="9">
        <f>+BQ258*(CB258*faktorji!$B$21+'MOL_tabela rezultatov'!CF3*faktorji!$B$23+'MOL_tabela rezultatov'!CH3*faktorji!$B$26)+faktorji!$B$27*CG258</f>
        <v>18267</v>
      </c>
      <c r="CJ258" s="9">
        <f>+(BZ258*CF258*faktorji!$B$18)+(CG258*faktorji!$B$17*('MOL_tabela rezultatov'!BY3+'MOL_tabela rezultatov'!BZ3))+('MOL_tabela rezultatov'!CH3*faktorji!$B$16*'MOL_tabela rezultatov'!BY3)+('MOL_tabela rezultatov'!CB3*faktorji!$B$12*'MOL_tabela rezultatov'!BY3)</f>
        <v>52.800000000000004</v>
      </c>
      <c r="CK258" s="66">
        <f>+CI258/CJ258</f>
        <v>345.96590909090907</v>
      </c>
      <c r="CL258" s="3" t="str">
        <f>CONCATENATE(IF(CB258&gt;0,"kotlovnica/toplotna postaja, ",""),IF(CF258&gt;0,"razsvetljava, ",""),IF(CG258&gt;0,"energetsko upravljanje, ",""),IF(CH258&gt;0,"manjši investicijski in organizacijski ukrepi, ",""))</f>
        <v xml:space="preserve">energetsko upravljanje, manjši investicijski in organizacijski ukrepi, </v>
      </c>
      <c r="CM258" s="9">
        <f>+CJ258*0.9</f>
        <v>47.52</v>
      </c>
      <c r="CN258" s="9">
        <f>+CJ258*0.9</f>
        <v>47.52</v>
      </c>
      <c r="CO258" s="9">
        <f>+CJ258*0.9</f>
        <v>47.52</v>
      </c>
      <c r="CP258" s="69">
        <f>+IF(CI258-SUM(CM258:CO258)&lt;0,0,CI258-SUM(CM258:CO258))</f>
        <v>18124.439999999999</v>
      </c>
      <c r="CQ258" s="9">
        <f>+(BQ258*CE258*faktorji!$B$24)+(BQ258^0.5*CC258*4*4*0.66*faktorji!$B$22)+(BQ258^0.5*CD258*4*4*0.33*faktorji!$B$25)</f>
        <v>0</v>
      </c>
      <c r="CR258" s="3" t="str">
        <f t="shared" si="221"/>
        <v/>
      </c>
      <c r="CS258" s="9">
        <f>+BQ258*('MOL_tabela rezultatov'!CH258*faktorji!$B$26)+faktorji!$B$27*CG258</f>
        <v>18267</v>
      </c>
      <c r="CT258" s="3" t="str">
        <f t="shared" si="219"/>
        <v xml:space="preserve">energetsko upravljanje, manjši investicijski in organizacijski ukrepi, </v>
      </c>
      <c r="CU258" s="9">
        <f t="shared" si="190"/>
        <v>4566.75</v>
      </c>
      <c r="CV258" s="9">
        <f t="shared" ref="CV258:CX258" si="238">+CU258</f>
        <v>4566.75</v>
      </c>
      <c r="CW258" s="9">
        <f t="shared" si="238"/>
        <v>4566.75</v>
      </c>
      <c r="CX258" s="69">
        <f t="shared" si="238"/>
        <v>4566.75</v>
      </c>
    </row>
    <row r="259" spans="1:102" s="10" customFormat="1" ht="18" hidden="1" customHeight="1">
      <c r="A259" s="54" t="s">
        <v>236</v>
      </c>
      <c r="B259" s="3" t="s">
        <v>237</v>
      </c>
      <c r="C259" s="56"/>
      <c r="D259" s="56"/>
      <c r="E259" s="51" t="s">
        <v>1172</v>
      </c>
      <c r="F259" s="51"/>
      <c r="G259" s="51">
        <v>4</v>
      </c>
      <c r="H259" s="51"/>
      <c r="I259" s="51"/>
      <c r="J259" s="51">
        <v>7</v>
      </c>
      <c r="K259" s="37" t="s">
        <v>1242</v>
      </c>
      <c r="L259" s="50"/>
      <c r="M259" s="4" t="s">
        <v>5</v>
      </c>
      <c r="N259" s="25">
        <v>23.228999999999999</v>
      </c>
      <c r="O259" s="25"/>
      <c r="P259" s="25"/>
      <c r="Q259" s="25"/>
      <c r="R259" s="25"/>
      <c r="S259" s="25"/>
      <c r="T259" s="25">
        <v>6.488173611440855</v>
      </c>
      <c r="U259" s="25">
        <v>29.717173611440856</v>
      </c>
      <c r="V259" s="30">
        <v>64.881736114408554</v>
      </c>
      <c r="W259" s="30">
        <v>232.29</v>
      </c>
      <c r="X259" s="31"/>
      <c r="Y259" s="31"/>
      <c r="Z259" s="31"/>
      <c r="AA259" s="31"/>
      <c r="AB259" s="31"/>
      <c r="AC259" s="31"/>
      <c r="AD259" s="31"/>
      <c r="AE259" s="32"/>
      <c r="AF259" s="1"/>
      <c r="AG259" s="4"/>
      <c r="AH259" s="4"/>
      <c r="AI259" s="6">
        <v>100</v>
      </c>
      <c r="AJ259" s="38"/>
      <c r="AK259" s="3"/>
      <c r="AL259" s="1"/>
      <c r="AM259" s="37"/>
      <c r="AN259" s="37"/>
      <c r="AO259" s="37"/>
      <c r="AP259" s="37"/>
      <c r="AQ259" s="37"/>
      <c r="AR259" s="37"/>
      <c r="AS259" s="37"/>
      <c r="AT259" s="37"/>
      <c r="AU259" s="37"/>
      <c r="AV259" s="37"/>
      <c r="AW259" s="37"/>
      <c r="AX259" s="37"/>
      <c r="AY259" s="37"/>
      <c r="AZ259" s="37"/>
      <c r="BA259" s="37"/>
      <c r="BB259" s="37"/>
      <c r="BC259" s="37">
        <v>31.23</v>
      </c>
      <c r="BD259" s="37">
        <v>39.82</v>
      </c>
      <c r="BE259" s="37">
        <v>35.89</v>
      </c>
      <c r="BF259" s="37">
        <v>27.28</v>
      </c>
      <c r="BG259" s="42">
        <v>23.23</v>
      </c>
      <c r="BH259" s="42"/>
      <c r="BI259" s="42"/>
      <c r="BJ259" s="42"/>
      <c r="BK259" s="44">
        <v>23.23</v>
      </c>
      <c r="BL259" s="44">
        <v>33.555</v>
      </c>
      <c r="BM259" s="44">
        <f>+BK259+BL259</f>
        <v>56.784999999999997</v>
      </c>
      <c r="BN259" s="47">
        <v>25.81111111111111</v>
      </c>
      <c r="BO259" s="47">
        <v>37.283333333333331</v>
      </c>
      <c r="BP259" s="45">
        <v>63.094444444444441</v>
      </c>
      <c r="BQ259" s="9">
        <v>900</v>
      </c>
      <c r="BR259" s="4"/>
      <c r="BS259" s="4"/>
      <c r="BT259" s="4" t="s">
        <v>1111</v>
      </c>
      <c r="BU259" s="4" t="s">
        <v>119</v>
      </c>
      <c r="BV259" s="4"/>
      <c r="BW259" s="4"/>
      <c r="BX259" s="4"/>
      <c r="BY259" s="9">
        <f>+INT(BK259*faktorji!$B$3)</f>
        <v>1509</v>
      </c>
      <c r="BZ259" s="9">
        <f>+INT(BL259*faktorji!$B$4)</f>
        <v>5536</v>
      </c>
      <c r="CA259" s="4"/>
      <c r="CB259" s="4">
        <v>0</v>
      </c>
      <c r="CC259" s="4">
        <v>0</v>
      </c>
      <c r="CD259" s="4">
        <v>0</v>
      </c>
      <c r="CE259" s="4">
        <v>0</v>
      </c>
      <c r="CF259" s="4">
        <v>1</v>
      </c>
      <c r="CG259" s="4">
        <v>1</v>
      </c>
      <c r="CH259" s="4">
        <v>1</v>
      </c>
      <c r="CI259" s="9">
        <f>+BQ259*(CB259*faktorji!$B$21+'MOL_tabela rezultatov'!CF84*faktorji!$B$23+'MOL_tabela rezultatov'!CH84*faktorji!$B$26)+faktorji!$B$27*CG259</f>
        <v>32850</v>
      </c>
      <c r="CJ259" s="9">
        <f>+(BZ259*CF259*faktorji!$B$18)+(CG259*faktorji!$B$17*('MOL_tabela rezultatov'!BY84+'MOL_tabela rezultatov'!BZ84))+('MOL_tabela rezultatov'!CH84*faktorji!$B$16*'MOL_tabela rezultatov'!BY84)+('MOL_tabela rezultatov'!CB84*faktorji!$B$12*'MOL_tabela rezultatov'!BY84)</f>
        <v>19868.000000000004</v>
      </c>
      <c r="CK259" s="66">
        <f>+CI259/CJ259</f>
        <v>1.6534125226494862</v>
      </c>
      <c r="CL259" s="3" t="str">
        <f>CONCATENATE(IF(CB259&gt;0,"kotlovnica/toplotna postaja, ",""),IF(CF259&gt;0,"razsvetljava, ",""),IF(CG259&gt;0,"energetsko upravljanje, ",""),IF(CH259&gt;0,"manjši investicijski in organizacijski ukrepi, ",""))</f>
        <v xml:space="preserve">razsvetljava, energetsko upravljanje, manjši investicijski in organizacijski ukrepi, </v>
      </c>
      <c r="CM259" s="9">
        <f>+CJ259*0.9</f>
        <v>17881.200000000004</v>
      </c>
      <c r="CN259" s="9">
        <f>+CJ259*0.9</f>
        <v>17881.200000000004</v>
      </c>
      <c r="CO259" s="9">
        <f>+CJ259*0.9</f>
        <v>17881.200000000004</v>
      </c>
      <c r="CP259" s="69">
        <f>+IF(CI259-SUM(CM259:CO259)&lt;0,0,CI259-SUM(CM259:CO259))</f>
        <v>0</v>
      </c>
      <c r="CQ259" s="9">
        <f>+(BQ259*CE259*faktorji!$B$24)+(BQ259^0.5*CC259*4*4*0.66*faktorji!$B$22)+(BQ259^0.5*CD259*4*4*0.33*faktorji!$B$25)</f>
        <v>0</v>
      </c>
      <c r="CR259" s="3" t="str">
        <f t="shared" si="221"/>
        <v/>
      </c>
      <c r="CS259" s="9">
        <f>+BQ259*('MOL_tabela rezultatov'!CH259*faktorji!$B$26)+faktorji!$B$27*CG259</f>
        <v>19350</v>
      </c>
      <c r="CT259" s="3" t="str">
        <f t="shared" si="219"/>
        <v xml:space="preserve">energetsko upravljanje, manjši investicijski in organizacijski ukrepi, </v>
      </c>
      <c r="CU259" s="9">
        <f t="shared" si="190"/>
        <v>4837.5</v>
      </c>
      <c r="CV259" s="9">
        <f t="shared" ref="CV259:CX259" si="239">+CU259</f>
        <v>4837.5</v>
      </c>
      <c r="CW259" s="9">
        <f t="shared" si="239"/>
        <v>4837.5</v>
      </c>
      <c r="CX259" s="69">
        <f t="shared" si="239"/>
        <v>4837.5</v>
      </c>
    </row>
    <row r="260" spans="1:102" s="10" customFormat="1" ht="18" hidden="1" customHeight="1">
      <c r="A260" s="53" t="s">
        <v>415</v>
      </c>
      <c r="B260" s="2" t="s">
        <v>416</v>
      </c>
      <c r="C260" s="57"/>
      <c r="D260" s="57"/>
      <c r="E260" s="51" t="s">
        <v>1175</v>
      </c>
      <c r="F260" s="51"/>
      <c r="G260" s="51">
        <v>3</v>
      </c>
      <c r="H260" s="51"/>
      <c r="I260" s="51"/>
      <c r="J260" s="51">
        <v>7</v>
      </c>
      <c r="K260" s="37" t="s">
        <v>1242</v>
      </c>
      <c r="L260" s="50"/>
      <c r="M260" s="4" t="s">
        <v>6</v>
      </c>
      <c r="N260" s="25"/>
      <c r="O260" s="25">
        <v>885.1</v>
      </c>
      <c r="P260" s="25"/>
      <c r="Q260" s="25"/>
      <c r="R260" s="25"/>
      <c r="S260" s="25"/>
      <c r="T260" s="25">
        <v>57.021999999999998</v>
      </c>
      <c r="U260" s="25">
        <v>942.12200000000007</v>
      </c>
      <c r="V260" s="30">
        <v>9.3478688524590154</v>
      </c>
      <c r="W260" s="30">
        <v>145.09836065573771</v>
      </c>
      <c r="X260" s="31"/>
      <c r="Y260" s="31"/>
      <c r="Z260" s="31"/>
      <c r="AA260" s="31"/>
      <c r="AB260" s="31"/>
      <c r="AC260" s="31"/>
      <c r="AD260" s="31"/>
      <c r="AE260" s="32"/>
      <c r="AF260" s="16" t="s">
        <v>417</v>
      </c>
      <c r="AG260" s="3">
        <v>2000</v>
      </c>
      <c r="AH260" s="4"/>
      <c r="AI260" s="6">
        <v>6100</v>
      </c>
      <c r="AJ260" s="38">
        <v>100</v>
      </c>
      <c r="AK260" s="3"/>
      <c r="AL260" s="1" t="s">
        <v>418</v>
      </c>
      <c r="AM260" s="37"/>
      <c r="AN260" s="37"/>
      <c r="AO260" s="37"/>
      <c r="AP260" s="37"/>
      <c r="AQ260" s="37">
        <f>(85909*9.5)/1000</f>
        <v>816.13549999999998</v>
      </c>
      <c r="AR260" s="37">
        <f>(93278*9.5)/1000</f>
        <v>886.14099999999996</v>
      </c>
      <c r="AS260" s="37">
        <f>(82141*9.5)/1000</f>
        <v>780.33950000000004</v>
      </c>
      <c r="AT260" s="37">
        <f>(80630*9.5)/1000</f>
        <v>765.98500000000001</v>
      </c>
      <c r="AU260" s="37"/>
      <c r="AV260" s="37"/>
      <c r="AW260" s="37"/>
      <c r="AX260" s="37"/>
      <c r="AY260" s="37"/>
      <c r="AZ260" s="37"/>
      <c r="BA260" s="37"/>
      <c r="BB260" s="37"/>
      <c r="BC260" s="37"/>
      <c r="BD260" s="37"/>
      <c r="BE260" s="37"/>
      <c r="BF260" s="37"/>
      <c r="BG260" s="42"/>
      <c r="BH260" s="42">
        <v>812.15025000000003</v>
      </c>
      <c r="BI260" s="42"/>
      <c r="BJ260" s="42"/>
      <c r="BK260" s="44">
        <v>812.15025000000003</v>
      </c>
      <c r="BL260" s="44">
        <v>57.02</v>
      </c>
      <c r="BM260" s="44">
        <f>+BK260+BL260</f>
        <v>869.17025000000001</v>
      </c>
      <c r="BN260" s="47">
        <v>137.65258474576271</v>
      </c>
      <c r="BO260" s="47">
        <v>9.6644067796610162</v>
      </c>
      <c r="BP260" s="45">
        <v>147.31699152542373</v>
      </c>
      <c r="BQ260" s="9">
        <v>5900</v>
      </c>
      <c r="BR260" s="4" t="s">
        <v>997</v>
      </c>
      <c r="BS260" s="4">
        <v>2000</v>
      </c>
      <c r="BT260" s="1" t="s">
        <v>998</v>
      </c>
      <c r="BU260" s="4"/>
      <c r="BV260" s="4" t="s">
        <v>901</v>
      </c>
      <c r="BW260" s="4"/>
      <c r="BX260" s="4"/>
      <c r="BY260" s="9">
        <f>+INT(BK260*faktorji!$B$5)</f>
        <v>77154</v>
      </c>
      <c r="BZ260" s="9">
        <f>+INT(BL260*faktorji!$B$4)</f>
        <v>9408</v>
      </c>
      <c r="CA260" s="4"/>
      <c r="CB260" s="4">
        <v>0</v>
      </c>
      <c r="CC260" s="4">
        <v>0</v>
      </c>
      <c r="CD260" s="4">
        <v>0</v>
      </c>
      <c r="CE260" s="4">
        <v>0</v>
      </c>
      <c r="CF260" s="4">
        <v>1</v>
      </c>
      <c r="CG260" s="4">
        <v>1</v>
      </c>
      <c r="CH260" s="4">
        <v>1</v>
      </c>
      <c r="CI260" s="9">
        <f>+BQ260*(CB260*faktorji!$B$21+'MOL_tabela rezultatov'!CF165*faktorji!$B$23+'MOL_tabela rezultatov'!CH165*faktorji!$B$26)+faktorji!$B$27*CG260</f>
        <v>115350</v>
      </c>
      <c r="CJ260" s="9">
        <f>+(BZ260*CF260*faktorji!$B$18)+(CG260*faktorji!$B$17*('MOL_tabela rezultatov'!BY165+'MOL_tabela rezultatov'!BZ165))+('MOL_tabela rezultatov'!CH165*faktorji!$B$16*'MOL_tabela rezultatov'!BY165)+('MOL_tabela rezultatov'!CB165*faktorji!$B$12*'MOL_tabela rezultatov'!BY165)</f>
        <v>15824.100000000002</v>
      </c>
      <c r="CK260" s="66">
        <f>+CI260/CJ260</f>
        <v>7.2895140955883733</v>
      </c>
      <c r="CL260" s="3" t="str">
        <f>CONCATENATE(IF(CB260&gt;0,"kotlovnica/toplotna postaja, ",""),IF(CF260&gt;0,"razsvetljava, ",""),IF(CG260&gt;0,"energetsko upravljanje, ",""),IF(CH260&gt;0,"manjši investicijski in organizacijski ukrepi, ",""))</f>
        <v xml:space="preserve">razsvetljava, energetsko upravljanje, manjši investicijski in organizacijski ukrepi, </v>
      </c>
      <c r="CM260" s="9">
        <f>+CJ260*0.9</f>
        <v>14241.690000000002</v>
      </c>
      <c r="CN260" s="9">
        <f>+CJ260*0.9</f>
        <v>14241.690000000002</v>
      </c>
      <c r="CO260" s="9">
        <f>+CJ260*0.9</f>
        <v>14241.690000000002</v>
      </c>
      <c r="CP260" s="69">
        <f>+IF(CI260-SUM(CM260:CO260)&lt;0,0,CI260-SUM(CM260:CO260))</f>
        <v>72624.929999999993</v>
      </c>
      <c r="CQ260" s="9">
        <f>+(BQ260*CE260*faktorji!$B$24)+(BQ260^0.5*CC260*4*4*0.66*faktorji!$B$22)+(BQ260^0.5*CD260*4*4*0.33*faktorji!$B$25)</f>
        <v>0</v>
      </c>
      <c r="CR260" s="3" t="str">
        <f t="shared" si="221"/>
        <v/>
      </c>
      <c r="CS260" s="9">
        <f>+BQ260*('MOL_tabela rezultatov'!CH260*faktorji!$B$26)+faktorji!$B$27*CG260</f>
        <v>26850</v>
      </c>
      <c r="CT260" s="3" t="str">
        <f t="shared" si="219"/>
        <v xml:space="preserve">energetsko upravljanje, manjši investicijski in organizacijski ukrepi, </v>
      </c>
      <c r="CU260" s="9">
        <f t="shared" si="190"/>
        <v>6712.5</v>
      </c>
      <c r="CV260" s="9">
        <f t="shared" ref="CV260:CX260" si="240">+CU260</f>
        <v>6712.5</v>
      </c>
      <c r="CW260" s="9">
        <f t="shared" si="240"/>
        <v>6712.5</v>
      </c>
      <c r="CX260" s="69">
        <f t="shared" si="240"/>
        <v>6712.5</v>
      </c>
    </row>
    <row r="261" spans="1:102" s="10" customFormat="1" ht="18" hidden="1" customHeight="1">
      <c r="A261" s="54" t="s">
        <v>1446</v>
      </c>
      <c r="B261" s="3" t="s">
        <v>166</v>
      </c>
      <c r="C261" s="56"/>
      <c r="D261" s="56"/>
      <c r="E261" s="51" t="s">
        <v>1444</v>
      </c>
      <c r="F261" s="51"/>
      <c r="G261" s="51">
        <v>4</v>
      </c>
      <c r="H261" s="51"/>
      <c r="I261" s="51"/>
      <c r="J261" s="51">
        <v>6</v>
      </c>
      <c r="K261" s="37" t="s">
        <v>1242</v>
      </c>
      <c r="L261" s="50"/>
      <c r="M261" s="4" t="s">
        <v>7</v>
      </c>
      <c r="N261" s="25">
        <v>16.2730350877193</v>
      </c>
      <c r="O261" s="25"/>
      <c r="P261" s="25"/>
      <c r="Q261" s="25"/>
      <c r="R261" s="25"/>
      <c r="S261" s="25"/>
      <c r="T261" s="25">
        <v>6.4170350877192979</v>
      </c>
      <c r="U261" s="25">
        <v>22.690070175438599</v>
      </c>
      <c r="V261" s="30">
        <v>45.835964912280701</v>
      </c>
      <c r="W261" s="30">
        <v>116.23596491228071</v>
      </c>
      <c r="X261" s="31"/>
      <c r="Y261" s="31"/>
      <c r="Z261" s="31"/>
      <c r="AA261" s="31"/>
      <c r="AB261" s="31"/>
      <c r="AC261" s="31"/>
      <c r="AD261" s="31"/>
      <c r="AE261" s="32"/>
      <c r="AF261" s="1"/>
      <c r="AG261" s="4"/>
      <c r="AH261" s="4"/>
      <c r="AI261" s="6">
        <v>140</v>
      </c>
      <c r="AJ261" s="38"/>
      <c r="AK261" s="3"/>
      <c r="AL261" s="1"/>
      <c r="AM261" s="37"/>
      <c r="AN261" s="37"/>
      <c r="AO261" s="37"/>
      <c r="AP261" s="37"/>
      <c r="AQ261" s="37"/>
      <c r="AR261" s="37"/>
      <c r="AS261" s="37"/>
      <c r="AT261" s="37"/>
      <c r="AU261" s="37"/>
      <c r="AV261" s="37"/>
      <c r="AW261" s="37"/>
      <c r="AX261" s="37"/>
      <c r="AY261" s="37"/>
      <c r="AZ261" s="37"/>
      <c r="BA261" s="37"/>
      <c r="BB261" s="37"/>
      <c r="BC261" s="37"/>
      <c r="BD261" s="37"/>
      <c r="BE261" s="37"/>
      <c r="BF261" s="37"/>
      <c r="BG261" s="42"/>
      <c r="BH261" s="42">
        <v>20.485799999999998</v>
      </c>
      <c r="BI261" s="42"/>
      <c r="BJ261" s="42"/>
      <c r="BK261" s="44">
        <v>20.485799999999998</v>
      </c>
      <c r="BL261" s="44">
        <v>15.663599999999999</v>
      </c>
      <c r="BM261" s="44">
        <f>+BK261+BL261</f>
        <v>36.1494</v>
      </c>
      <c r="BN261" s="47">
        <v>119.8</v>
      </c>
      <c r="BO261" s="47">
        <v>91.6</v>
      </c>
      <c r="BP261" s="45">
        <v>211.4</v>
      </c>
      <c r="BQ261" s="9">
        <v>171</v>
      </c>
      <c r="BR261" s="4">
        <v>33</v>
      </c>
      <c r="BS261" s="4">
        <v>1994</v>
      </c>
      <c r="BT261" s="4" t="s">
        <v>897</v>
      </c>
      <c r="BU261" s="4"/>
      <c r="BV261" s="4" t="s">
        <v>871</v>
      </c>
      <c r="BW261" s="4"/>
      <c r="BX261" s="4"/>
      <c r="BY261" s="9">
        <f>+INT(BK261*faktorji!$B$6)</f>
        <v>2560</v>
      </c>
      <c r="BZ261" s="9">
        <f>+INT(BL261*faktorji!$B$4)</f>
        <v>2584</v>
      </c>
      <c r="CA261" s="4"/>
      <c r="CB261" s="4">
        <v>0</v>
      </c>
      <c r="CC261" s="4">
        <v>1</v>
      </c>
      <c r="CD261" s="4">
        <v>0</v>
      </c>
      <c r="CE261" s="4">
        <v>0</v>
      </c>
      <c r="CF261" s="4">
        <v>1</v>
      </c>
      <c r="CG261" s="4">
        <v>1</v>
      </c>
      <c r="CH261" s="4">
        <v>1</v>
      </c>
      <c r="CI261" s="9">
        <f>+BQ261*(CB261*faktorji!$B$21+'MOL_tabela rezultatov'!CF59*faktorji!$B$23+'MOL_tabela rezultatov'!CH59*faktorji!$B$26)+faktorji!$B$27*CG261</f>
        <v>20821.5</v>
      </c>
      <c r="CJ261" s="9">
        <f>+(BZ261*CF261*faktorji!$B$18)+(CG261*faktorji!$B$17*('MOL_tabela rezultatov'!BY59+'MOL_tabela rezultatov'!BZ59))+('MOL_tabela rezultatov'!CH59*faktorji!$B$16*'MOL_tabela rezultatov'!BY59)+('MOL_tabela rezultatov'!CB59*faktorji!$B$12*'MOL_tabela rezultatov'!BY59)</f>
        <v>16679</v>
      </c>
      <c r="CK261" s="66">
        <f>+CI261/CJ261</f>
        <v>1.248366209005336</v>
      </c>
      <c r="CL261" s="3" t="str">
        <f>CONCATENATE(IF(CB261&gt;0,"kotlovnica/toplotna postaja, ",""),IF(CF261&gt;0,"razsvetljava, ",""),IF(CG261&gt;0,"energetsko upravljanje, ",""),IF(CH261&gt;0,"manjši investicijski in organizacijski ukrepi, ",""))</f>
        <v xml:space="preserve">razsvetljava, energetsko upravljanje, manjši investicijski in organizacijski ukrepi, </v>
      </c>
      <c r="CM261" s="9">
        <f>+CJ261*0.9</f>
        <v>15011.1</v>
      </c>
      <c r="CN261" s="9">
        <f>+CJ261*0.9</f>
        <v>15011.1</v>
      </c>
      <c r="CO261" s="9">
        <f>+CJ261*0.9</f>
        <v>15011.1</v>
      </c>
      <c r="CP261" s="69">
        <f>+IF(CI261-SUM(CM261:CO261)&lt;0,0,CI261-SUM(CM261:CO261))</f>
        <v>0</v>
      </c>
      <c r="CQ261" s="9">
        <f>+(BQ261*CE261*faktorji!$B$24)+(BQ261^0.5*CC261*4*4*0.66*faktorji!$B$22)+(BQ261^0.5*CD261*4*4*0.33*faktorji!$B$25)</f>
        <v>9666.2942971957982</v>
      </c>
      <c r="CR261" s="3" t="str">
        <f t="shared" si="221"/>
        <v xml:space="preserve">izolacija ovoja, </v>
      </c>
      <c r="CS261" s="9">
        <f>+BQ261*('MOL_tabela rezultatov'!CH261*faktorji!$B$26)+faktorji!$B$27*CG261</f>
        <v>18256.5</v>
      </c>
      <c r="CT261" s="3" t="str">
        <f t="shared" si="219"/>
        <v xml:space="preserve">energetsko upravljanje, manjši investicijski in organizacijski ukrepi, </v>
      </c>
      <c r="CU261" s="9">
        <f t="shared" si="190"/>
        <v>4564.125</v>
      </c>
      <c r="CV261" s="9">
        <f t="shared" ref="CV261:CX261" si="241">+CU261</f>
        <v>4564.125</v>
      </c>
      <c r="CW261" s="9">
        <f t="shared" si="241"/>
        <v>4564.125</v>
      </c>
      <c r="CX261" s="69">
        <f t="shared" si="241"/>
        <v>4564.125</v>
      </c>
    </row>
    <row r="262" spans="1:102" s="10" customFormat="1" ht="18" hidden="1" customHeight="1">
      <c r="A262" s="53" t="s">
        <v>643</v>
      </c>
      <c r="B262" s="2" t="s">
        <v>644</v>
      </c>
      <c r="C262" s="57"/>
      <c r="D262" s="57"/>
      <c r="E262" s="51" t="s">
        <v>1176</v>
      </c>
      <c r="F262" s="51"/>
      <c r="G262" s="51">
        <v>3</v>
      </c>
      <c r="H262" s="51"/>
      <c r="I262" s="51"/>
      <c r="J262" s="51">
        <v>7</v>
      </c>
      <c r="K262" s="37" t="s">
        <v>1243</v>
      </c>
      <c r="L262" s="50"/>
      <c r="M262" s="4" t="s">
        <v>5</v>
      </c>
      <c r="N262" s="28">
        <v>49</v>
      </c>
      <c r="O262" s="25"/>
      <c r="P262" s="25"/>
      <c r="Q262" s="25"/>
      <c r="R262" s="25"/>
      <c r="S262" s="25"/>
      <c r="T262" s="25">
        <v>8.86</v>
      </c>
      <c r="U262" s="25">
        <v>57.86</v>
      </c>
      <c r="V262" s="30">
        <v>25.606936416184968</v>
      </c>
      <c r="W262" s="30">
        <v>141.61849710982659</v>
      </c>
      <c r="X262" s="31"/>
      <c r="Y262" s="31"/>
      <c r="Z262" s="31"/>
      <c r="AA262" s="31"/>
      <c r="AB262" s="31"/>
      <c r="AC262" s="31"/>
      <c r="AD262" s="31"/>
      <c r="AE262" s="32"/>
      <c r="AF262" s="16"/>
      <c r="AG262" s="3"/>
      <c r="AH262" s="4"/>
      <c r="AI262" s="6">
        <v>346</v>
      </c>
      <c r="AJ262" s="38">
        <v>100</v>
      </c>
      <c r="AK262" s="3"/>
      <c r="AL262" s="1" t="s">
        <v>490</v>
      </c>
      <c r="AM262" s="39"/>
      <c r="AN262" s="39"/>
      <c r="AO262" s="39">
        <v>47.7</v>
      </c>
      <c r="AP262" s="39">
        <v>42.5</v>
      </c>
      <c r="AQ262" s="37"/>
      <c r="AR262" s="37"/>
      <c r="AS262" s="37"/>
      <c r="AT262" s="37"/>
      <c r="AU262" s="37"/>
      <c r="AV262" s="37"/>
      <c r="AW262" s="37"/>
      <c r="AX262" s="37"/>
      <c r="AY262" s="37"/>
      <c r="AZ262" s="37"/>
      <c r="BA262" s="37"/>
      <c r="BB262" s="37"/>
      <c r="BC262" s="37">
        <v>15.7</v>
      </c>
      <c r="BD262" s="37">
        <v>15.6</v>
      </c>
      <c r="BE262" s="37">
        <v>15.9</v>
      </c>
      <c r="BF262" s="37">
        <v>17.7</v>
      </c>
      <c r="BG262" s="42">
        <v>53.7</v>
      </c>
      <c r="BH262" s="42"/>
      <c r="BI262" s="42"/>
      <c r="BJ262" s="42"/>
      <c r="BK262" s="44">
        <v>53.7</v>
      </c>
      <c r="BL262" s="44">
        <v>16.224999999999998</v>
      </c>
      <c r="BM262" s="44">
        <f>+BK262+BL262</f>
        <v>69.924999999999997</v>
      </c>
      <c r="BN262" s="47">
        <v>160.29850746268656</v>
      </c>
      <c r="BO262" s="47">
        <v>48.432835820895519</v>
      </c>
      <c r="BP262" s="45">
        <v>208.73134328358208</v>
      </c>
      <c r="BQ262" s="9">
        <v>335</v>
      </c>
      <c r="BR262" s="4"/>
      <c r="BS262" s="4"/>
      <c r="BT262" s="4" t="s">
        <v>886</v>
      </c>
      <c r="BU262" s="4" t="s">
        <v>136</v>
      </c>
      <c r="BV262" s="4" t="s">
        <v>871</v>
      </c>
      <c r="BW262" s="4"/>
      <c r="BX262" s="4"/>
      <c r="BY262" s="9">
        <f>+INT(BK262*faktorji!$B$3)</f>
        <v>3490</v>
      </c>
      <c r="BZ262" s="9">
        <f>+INT(BL262*faktorji!$B$4)</f>
        <v>2677</v>
      </c>
      <c r="CA262" s="4"/>
      <c r="CB262" s="4">
        <v>0</v>
      </c>
      <c r="CC262" s="4">
        <v>1</v>
      </c>
      <c r="CD262" s="4">
        <v>0</v>
      </c>
      <c r="CE262" s="4">
        <v>0</v>
      </c>
      <c r="CF262" s="4">
        <v>1</v>
      </c>
      <c r="CG262" s="4">
        <v>1</v>
      </c>
      <c r="CH262" s="4">
        <v>1</v>
      </c>
      <c r="CI262" s="9">
        <f>+BQ262*(CB262*faktorji!$B$21+'MOL_tabela rezultatov'!CF236*faktorji!$B$23+'MOL_tabela rezultatov'!CH236*faktorji!$B$26)+faktorji!$B$27*CG262</f>
        <v>18502.5</v>
      </c>
      <c r="CJ262" s="9">
        <f>+(BZ262*CF262*faktorji!$B$18)+(CG262*faktorji!$B$17*('MOL_tabela rezultatov'!BY236+'MOL_tabela rezultatov'!BZ236))+('MOL_tabela rezultatov'!CH236*faktorji!$B$16*'MOL_tabela rezultatov'!BY236)+('MOL_tabela rezultatov'!CB236*faktorji!$B$12*'MOL_tabela rezultatov'!BY236)</f>
        <v>895.15000000000009</v>
      </c>
      <c r="CK262" s="66">
        <f>+CI262/CJ262</f>
        <v>20.669720158632629</v>
      </c>
      <c r="CL262" s="3" t="str">
        <f>CONCATENATE(IF(CB262&gt;0,"kotlovnica/toplotna postaja, ",""),IF(CF262&gt;0,"razsvetljava, ",""),IF(CG262&gt;0,"energetsko upravljanje, ",""),IF(CH262&gt;0,"manjši investicijski in organizacijski ukrepi, ",""))</f>
        <v xml:space="preserve">razsvetljava, energetsko upravljanje, manjši investicijski in organizacijski ukrepi, </v>
      </c>
      <c r="CM262" s="9">
        <f>+CJ262*0.9</f>
        <v>805.6350000000001</v>
      </c>
      <c r="CN262" s="9">
        <f>+CJ262*0.9</f>
        <v>805.6350000000001</v>
      </c>
      <c r="CO262" s="9">
        <f>+CJ262*0.9</f>
        <v>805.6350000000001</v>
      </c>
      <c r="CP262" s="69">
        <f>+IF(CI262-SUM(CM262:CO262)&lt;0,0,CI262-SUM(CM262:CO262))</f>
        <v>16085.594999999999</v>
      </c>
      <c r="CQ262" s="9">
        <f>+(BQ262*CE262*faktorji!$B$24)+(BQ262^0.5*CC262*4*4*0.66*faktorji!$B$22)+(BQ262^0.5*CD262*4*4*0.33*faktorji!$B$25)</f>
        <v>13529.581456940936</v>
      </c>
      <c r="CR262" s="3" t="str">
        <f t="shared" si="221"/>
        <v xml:space="preserve">izolacija ovoja, </v>
      </c>
      <c r="CS262" s="9">
        <f>+BQ262*('MOL_tabela rezultatov'!CH262*faktorji!$B$26)+faktorji!$B$27*CG262</f>
        <v>18502.5</v>
      </c>
      <c r="CT262" s="3" t="str">
        <f t="shared" si="219"/>
        <v xml:space="preserve">energetsko upravljanje, manjši investicijski in organizacijski ukrepi, </v>
      </c>
      <c r="CU262" s="9">
        <f t="shared" si="190"/>
        <v>4625.625</v>
      </c>
      <c r="CV262" s="9">
        <f t="shared" ref="CV262:CX262" si="242">+CU262</f>
        <v>4625.625</v>
      </c>
      <c r="CW262" s="9">
        <f t="shared" si="242"/>
        <v>4625.625</v>
      </c>
      <c r="CX262" s="69">
        <f t="shared" si="242"/>
        <v>4625.625</v>
      </c>
    </row>
    <row r="263" spans="1:102" s="10" customFormat="1" ht="18" hidden="1" customHeight="1">
      <c r="A263" s="53" t="s">
        <v>710</v>
      </c>
      <c r="B263" s="2" t="s">
        <v>711</v>
      </c>
      <c r="C263" s="57"/>
      <c r="D263" s="57"/>
      <c r="E263" s="51" t="s">
        <v>1176</v>
      </c>
      <c r="F263" s="51"/>
      <c r="G263" s="51">
        <v>3</v>
      </c>
      <c r="H263" s="51"/>
      <c r="I263" s="51"/>
      <c r="J263" s="51">
        <v>7</v>
      </c>
      <c r="K263" s="37" t="s">
        <v>1243</v>
      </c>
      <c r="L263" s="50"/>
      <c r="M263" s="4" t="s">
        <v>6</v>
      </c>
      <c r="N263" s="25"/>
      <c r="O263" s="25">
        <v>144.6</v>
      </c>
      <c r="P263" s="25"/>
      <c r="Q263" s="25"/>
      <c r="R263" s="25"/>
      <c r="S263" s="25"/>
      <c r="T263" s="25">
        <v>6.819</v>
      </c>
      <c r="U263" s="25">
        <v>151.41899999999998</v>
      </c>
      <c r="V263" s="30">
        <v>13.692771084337348</v>
      </c>
      <c r="W263" s="30">
        <v>290.36144578313252</v>
      </c>
      <c r="X263" s="31"/>
      <c r="Y263" s="31"/>
      <c r="Z263" s="31"/>
      <c r="AA263" s="31"/>
      <c r="AB263" s="31"/>
      <c r="AC263" s="31"/>
      <c r="AD263" s="31"/>
      <c r="AE263" s="32"/>
      <c r="AF263" s="16" t="s">
        <v>712</v>
      </c>
      <c r="AG263" s="3">
        <v>1985</v>
      </c>
      <c r="AH263" s="4"/>
      <c r="AI263" s="6">
        <v>498</v>
      </c>
      <c r="AJ263" s="38">
        <v>100</v>
      </c>
      <c r="AK263" s="3"/>
      <c r="AL263" s="1" t="s">
        <v>713</v>
      </c>
      <c r="AM263" s="37"/>
      <c r="AN263" s="37"/>
      <c r="AO263" s="37"/>
      <c r="AP263" s="37"/>
      <c r="AQ263" s="37">
        <f>(12426*9.5)/1000</f>
        <v>118.047</v>
      </c>
      <c r="AR263" s="37">
        <f>(12009*9.5)/1000</f>
        <v>114.0855</v>
      </c>
      <c r="AS263" s="37">
        <f>(11624*9.5)/1000</f>
        <v>110.428</v>
      </c>
      <c r="AT263" s="37">
        <f>(9930*9.5)/1000</f>
        <v>94.334999999999994</v>
      </c>
      <c r="AU263" s="37"/>
      <c r="AV263" s="37"/>
      <c r="AW263" s="37"/>
      <c r="AX263" s="37"/>
      <c r="AY263" s="37"/>
      <c r="AZ263" s="37"/>
      <c r="BA263" s="37"/>
      <c r="BB263" s="37"/>
      <c r="BC263" s="37">
        <v>16.98</v>
      </c>
      <c r="BD263" s="37">
        <v>15.4</v>
      </c>
      <c r="BE263" s="37">
        <v>14.88</v>
      </c>
      <c r="BF263" s="37">
        <v>13.8</v>
      </c>
      <c r="BG263" s="42"/>
      <c r="BH263" s="42">
        <v>109.22387499999999</v>
      </c>
      <c r="BI263" s="42"/>
      <c r="BJ263" s="42"/>
      <c r="BK263" s="44">
        <v>109.22387499999999</v>
      </c>
      <c r="BL263" s="44">
        <v>15.265000000000001</v>
      </c>
      <c r="BM263" s="44">
        <f>+BK263+BL263</f>
        <v>124.48887499999999</v>
      </c>
      <c r="BN263" s="47">
        <v>166.49980945121948</v>
      </c>
      <c r="BO263" s="47">
        <v>23.269817073170731</v>
      </c>
      <c r="BP263" s="45">
        <v>189.76962652439025</v>
      </c>
      <c r="BQ263" s="9">
        <v>656</v>
      </c>
      <c r="BR263" s="4" t="s">
        <v>920</v>
      </c>
      <c r="BS263" s="4">
        <v>2011</v>
      </c>
      <c r="BT263" s="4" t="s">
        <v>872</v>
      </c>
      <c r="BU263" s="4"/>
      <c r="BV263" s="4" t="s">
        <v>921</v>
      </c>
      <c r="BW263" s="4" t="s">
        <v>922</v>
      </c>
      <c r="BX263" s="4"/>
      <c r="BY263" s="9">
        <f>+INT(BK263*faktorji!$B$5)</f>
        <v>10376</v>
      </c>
      <c r="BZ263" s="9">
        <f>+INT(BL263*faktorji!$B$4)</f>
        <v>2518</v>
      </c>
      <c r="CA263" s="4"/>
      <c r="CB263" s="4">
        <v>0</v>
      </c>
      <c r="CC263" s="4">
        <v>1</v>
      </c>
      <c r="CD263" s="4">
        <v>1</v>
      </c>
      <c r="CE263" s="4">
        <v>0</v>
      </c>
      <c r="CF263" s="4">
        <v>1</v>
      </c>
      <c r="CG263" s="4">
        <v>1</v>
      </c>
      <c r="CH263" s="4">
        <v>1</v>
      </c>
      <c r="CI263" s="9" t="e">
        <f>+BQ263*(CB263*faktorji!$B$21+'MOL_tabela rezultatov'!#REF!*faktorji!$B$23+'MOL_tabela rezultatov'!#REF!*faktorji!$B$26)+faktorji!$B$27*CG263</f>
        <v>#REF!</v>
      </c>
      <c r="CJ263" s="9" t="e">
        <f>+(BZ263*CF263*faktorji!$B$18)+(CG263*faktorji!$B$17*('MOL_tabela rezultatov'!#REF!+'MOL_tabela rezultatov'!#REF!))+('MOL_tabela rezultatov'!#REF!*faktorji!$B$16*'MOL_tabela rezultatov'!#REF!)+('MOL_tabela rezultatov'!#REF!*faktorji!$B$12*'MOL_tabela rezultatov'!#REF!)</f>
        <v>#REF!</v>
      </c>
      <c r="CK263" s="66" t="e">
        <f>+CI263/CJ263</f>
        <v>#REF!</v>
      </c>
      <c r="CL263" s="3" t="str">
        <f>CONCATENATE(IF(CB263&gt;0,"kotlovnica/toplotna postaja, ",""),IF(CF263&gt;0,"razsvetljava, ",""),IF(CG263&gt;0,"energetsko upravljanje, ",""),IF(CH263&gt;0,"manjši investicijski in organizacijski ukrepi, ",""))</f>
        <v xml:space="preserve">razsvetljava, energetsko upravljanje, manjši investicijski in organizacijski ukrepi, </v>
      </c>
      <c r="CM263" s="9" t="e">
        <f>+CJ263*0.9</f>
        <v>#REF!</v>
      </c>
      <c r="CN263" s="9" t="e">
        <f>+CJ263*0.9</f>
        <v>#REF!</v>
      </c>
      <c r="CO263" s="9" t="e">
        <f>+CJ263*0.9</f>
        <v>#REF!</v>
      </c>
      <c r="CP263" s="69" t="e">
        <f>+IF(CI263-SUM(CM263:CO263)&lt;0,0,CI263-SUM(CM263:CO263))</f>
        <v>#REF!</v>
      </c>
      <c r="CQ263" s="9">
        <f>+(BQ263*CE263*faktorji!$B$24)+(BQ263^0.5*CC263*4*4*0.66*faktorji!$B$22)+(BQ263^0.5*CD263*4*4*0.33*faktorji!$B$25)</f>
        <v>52741.253718886888</v>
      </c>
      <c r="CR263" s="3" t="str">
        <f t="shared" si="221"/>
        <v xml:space="preserve">izolacija ovoja, stavbno pohištvo, </v>
      </c>
      <c r="CS263" s="9">
        <f>+BQ263*('MOL_tabela rezultatov'!CH263*faktorji!$B$26)+faktorji!$B$27*CG263</f>
        <v>18984</v>
      </c>
      <c r="CT263" s="3" t="str">
        <f t="shared" si="219"/>
        <v xml:space="preserve">energetsko upravljanje, manjši investicijski in organizacijski ukrepi, </v>
      </c>
      <c r="CU263" s="9">
        <f t="shared" si="190"/>
        <v>4746</v>
      </c>
      <c r="CV263" s="9">
        <f t="shared" ref="CV263:CX263" si="243">+CU263</f>
        <v>4746</v>
      </c>
      <c r="CW263" s="9">
        <f t="shared" si="243"/>
        <v>4746</v>
      </c>
      <c r="CX263" s="69">
        <f t="shared" si="243"/>
        <v>4746</v>
      </c>
    </row>
    <row r="264" spans="1:102" s="10" customFormat="1" ht="18" hidden="1" customHeight="1">
      <c r="A264" s="54" t="s">
        <v>1277</v>
      </c>
      <c r="B264" s="3" t="s">
        <v>263</v>
      </c>
      <c r="C264" s="56"/>
      <c r="D264" s="56"/>
      <c r="E264" s="51" t="s">
        <v>1173</v>
      </c>
      <c r="F264" s="51"/>
      <c r="G264" s="51">
        <v>2</v>
      </c>
      <c r="H264" s="51"/>
      <c r="I264" s="51"/>
      <c r="J264" s="51">
        <v>3</v>
      </c>
      <c r="K264" s="37" t="s">
        <v>1244</v>
      </c>
      <c r="L264" s="50"/>
      <c r="M264" s="4" t="s">
        <v>6</v>
      </c>
      <c r="N264" s="25"/>
      <c r="O264" s="25">
        <v>110.86499999999999</v>
      </c>
      <c r="P264" s="25"/>
      <c r="Q264" s="25"/>
      <c r="R264" s="25"/>
      <c r="S264" s="25"/>
      <c r="T264" s="25">
        <v>10.318782563232833</v>
      </c>
      <c r="U264" s="25">
        <v>121.18378256323282</v>
      </c>
      <c r="V264" s="30">
        <v>26.458416828802136</v>
      </c>
      <c r="W264" s="30">
        <v>284.26923076923077</v>
      </c>
      <c r="X264" s="31"/>
      <c r="Y264" s="33">
        <v>87.47</v>
      </c>
      <c r="Z264" s="31"/>
      <c r="AA264" s="31"/>
      <c r="AB264" s="31"/>
      <c r="AC264" s="31">
        <v>166.601</v>
      </c>
      <c r="AD264" s="31"/>
      <c r="AE264" s="32">
        <v>224.28205128205127</v>
      </c>
      <c r="AF264" s="1">
        <v>24</v>
      </c>
      <c r="AG264" s="4">
        <v>1992</v>
      </c>
      <c r="AH264" s="4"/>
      <c r="AI264" s="6">
        <v>390</v>
      </c>
      <c r="AJ264" s="38">
        <v>100</v>
      </c>
      <c r="AK264" s="3"/>
      <c r="AL264" s="1" t="s">
        <v>250</v>
      </c>
      <c r="AM264" s="37"/>
      <c r="AN264" s="37"/>
      <c r="AO264" s="37"/>
      <c r="AP264" s="37"/>
      <c r="AQ264" s="37"/>
      <c r="AR264" s="37"/>
      <c r="AS264" s="37"/>
      <c r="AT264" s="37"/>
      <c r="AU264" s="37"/>
      <c r="AV264" s="37"/>
      <c r="AW264" s="37"/>
      <c r="AX264" s="37"/>
      <c r="AY264" s="37"/>
      <c r="AZ264" s="37"/>
      <c r="BA264" s="37"/>
      <c r="BB264" s="37"/>
      <c r="BC264" s="37"/>
      <c r="BD264" s="37"/>
      <c r="BE264" s="37"/>
      <c r="BF264" s="37"/>
      <c r="BG264" s="42"/>
      <c r="BH264" s="42">
        <v>123</v>
      </c>
      <c r="BI264" s="42"/>
      <c r="BJ264" s="42"/>
      <c r="BK264" s="44">
        <v>123</v>
      </c>
      <c r="BL264" s="44">
        <v>15.911999999999999</v>
      </c>
      <c r="BM264" s="44">
        <f>+BK264+BL264</f>
        <v>138.91200000000001</v>
      </c>
      <c r="BN264" s="47">
        <v>315.38461538461536</v>
      </c>
      <c r="BO264" s="47">
        <v>40.799999999999997</v>
      </c>
      <c r="BP264" s="45">
        <v>356.18461538461537</v>
      </c>
      <c r="BQ264" s="9">
        <v>380</v>
      </c>
      <c r="BR264" s="4"/>
      <c r="BS264" s="4"/>
      <c r="BT264" s="4"/>
      <c r="BU264" s="4"/>
      <c r="BV264" s="4"/>
      <c r="BW264" s="4"/>
      <c r="BX264" s="4"/>
      <c r="BY264" s="9">
        <f>+INT(BK264*faktorji!$B$5)</f>
        <v>11685</v>
      </c>
      <c r="BZ264" s="9">
        <f>+INT(BL264*faktorji!$B$4)</f>
        <v>2625</v>
      </c>
      <c r="CA264" s="72" t="s">
        <v>1299</v>
      </c>
      <c r="CB264" s="4">
        <v>0</v>
      </c>
      <c r="CC264" s="4">
        <v>0</v>
      </c>
      <c r="CD264" s="4">
        <v>0</v>
      </c>
      <c r="CE264" s="4">
        <v>0</v>
      </c>
      <c r="CF264" s="4">
        <v>1</v>
      </c>
      <c r="CG264" s="4">
        <v>1</v>
      </c>
      <c r="CH264" s="4">
        <v>1</v>
      </c>
      <c r="CI264" s="9">
        <f>+BQ264*(CB264*faktorji!$B$21+'MOL_tabela rezultatov'!CF99*faktorji!$B$23+'MOL_tabela rezultatov'!CH99*faktorji!$B$26)+faktorji!$B$27*CG264</f>
        <v>24270</v>
      </c>
      <c r="CJ264" s="9">
        <f>+(BZ264*CF264*faktorji!$B$18)+(CG264*faktorji!$B$17*('MOL_tabela rezultatov'!BY99+'MOL_tabela rezultatov'!BZ99))+('MOL_tabela rezultatov'!CH99*faktorji!$B$16*'MOL_tabela rezultatov'!BY99)+('MOL_tabela rezultatov'!CB99*faktorji!$B$12*'MOL_tabela rezultatov'!BY99)</f>
        <v>393.75</v>
      </c>
      <c r="CK264" s="66">
        <f>+CI264/CJ264</f>
        <v>61.638095238095239</v>
      </c>
      <c r="CL264" s="3" t="str">
        <f>CONCATENATE(IF(CB264&gt;0,"kotlovnica/toplotna postaja, ",""),IF(CF264&gt;0,"razsvetljava, ",""),IF(CG264&gt;0,"energetsko upravljanje, ",""),IF(CH264&gt;0,"manjši investicijski in organizacijski ukrepi, ",""))</f>
        <v xml:space="preserve">razsvetljava, energetsko upravljanje, manjši investicijski in organizacijski ukrepi, </v>
      </c>
      <c r="CM264" s="9">
        <f>+CJ264*0.9</f>
        <v>354.375</v>
      </c>
      <c r="CN264" s="9">
        <f>+CJ264*0.9</f>
        <v>354.375</v>
      </c>
      <c r="CO264" s="9">
        <f>+CJ264*0.9</f>
        <v>354.375</v>
      </c>
      <c r="CP264" s="69">
        <f>+IF(CI264-SUM(CM264:CO264)&lt;0,0,CI264-SUM(CM264:CO264))</f>
        <v>23206.875</v>
      </c>
      <c r="CQ264" s="9">
        <f>+(BQ264*CE264*faktorji!$B$24)+(BQ264^0.5*CC264*4*4*0.66*faktorji!$B$22)+(BQ264^0.5*CD264*4*4*0.33*faktorji!$B$25)</f>
        <v>0</v>
      </c>
      <c r="CR264" s="3" t="str">
        <f t="shared" si="221"/>
        <v/>
      </c>
      <c r="CS264" s="9">
        <f>+BQ264*('MOL_tabela rezultatov'!CH264*faktorji!$B$26)+faktorji!$B$27*CG264</f>
        <v>18570</v>
      </c>
      <c r="CT264" s="3" t="str">
        <f t="shared" si="219"/>
        <v xml:space="preserve">energetsko upravljanje, manjši investicijski in organizacijski ukrepi, </v>
      </c>
      <c r="CU264" s="9">
        <f t="shared" si="190"/>
        <v>4642.5</v>
      </c>
      <c r="CV264" s="9">
        <f t="shared" ref="CV264:CX264" si="244">+CU264</f>
        <v>4642.5</v>
      </c>
      <c r="CW264" s="9">
        <f t="shared" si="244"/>
        <v>4642.5</v>
      </c>
      <c r="CX264" s="69">
        <f t="shared" si="244"/>
        <v>4642.5</v>
      </c>
    </row>
    <row r="265" spans="1:102" s="10" customFormat="1" ht="18" hidden="1" customHeight="1">
      <c r="A265" s="53" t="s">
        <v>794</v>
      </c>
      <c r="B265" s="2" t="s">
        <v>795</v>
      </c>
      <c r="C265" s="57"/>
      <c r="D265" s="57"/>
      <c r="E265" s="51" t="s">
        <v>1176</v>
      </c>
      <c r="F265" s="51"/>
      <c r="G265" s="51">
        <v>2</v>
      </c>
      <c r="H265" s="51" t="s">
        <v>1254</v>
      </c>
      <c r="I265" s="51"/>
      <c r="J265" s="51">
        <v>2</v>
      </c>
      <c r="K265" s="37" t="s">
        <v>1243</v>
      </c>
      <c r="L265" s="50"/>
      <c r="M265" s="4" t="s">
        <v>5</v>
      </c>
      <c r="N265" s="28">
        <v>105</v>
      </c>
      <c r="O265" s="25"/>
      <c r="P265" s="25"/>
      <c r="Q265" s="25"/>
      <c r="R265" s="25"/>
      <c r="S265" s="25"/>
      <c r="T265" s="25">
        <v>8.5660000000000007</v>
      </c>
      <c r="U265" s="25">
        <v>113.566</v>
      </c>
      <c r="V265" s="30">
        <v>12.219686162624821</v>
      </c>
      <c r="W265" s="30">
        <v>149.78601997146933</v>
      </c>
      <c r="X265" s="31"/>
      <c r="Y265" s="31"/>
      <c r="Z265" s="31"/>
      <c r="AA265" s="31"/>
      <c r="AB265" s="31"/>
      <c r="AC265" s="31"/>
      <c r="AD265" s="31"/>
      <c r="AE265" s="32"/>
      <c r="AF265" s="16"/>
      <c r="AG265" s="3"/>
      <c r="AH265" s="4"/>
      <c r="AI265" s="6">
        <v>701</v>
      </c>
      <c r="AJ265" s="38">
        <v>100</v>
      </c>
      <c r="AK265" s="3"/>
      <c r="AL265" s="1" t="s">
        <v>490</v>
      </c>
      <c r="AM265" s="39"/>
      <c r="AN265" s="39"/>
      <c r="AO265" s="39"/>
      <c r="AP265" s="39"/>
      <c r="AQ265" s="37"/>
      <c r="AR265" s="37"/>
      <c r="AS265" s="37"/>
      <c r="AT265" s="37"/>
      <c r="AU265" s="37"/>
      <c r="AV265" s="37"/>
      <c r="AW265" s="37"/>
      <c r="AX265" s="37"/>
      <c r="AY265" s="37"/>
      <c r="AZ265" s="37"/>
      <c r="BA265" s="37"/>
      <c r="BB265" s="37"/>
      <c r="BC265" s="37">
        <v>18.8</v>
      </c>
      <c r="BD265" s="37">
        <v>28.14</v>
      </c>
      <c r="BE265" s="37">
        <v>30.6</v>
      </c>
      <c r="BF265" s="37">
        <v>23.8</v>
      </c>
      <c r="BG265" s="42">
        <v>131.80000000000001</v>
      </c>
      <c r="BH265" s="42">
        <v>1.4</v>
      </c>
      <c r="BI265" s="42"/>
      <c r="BJ265" s="42"/>
      <c r="BK265" s="44">
        <v>133.20000000000002</v>
      </c>
      <c r="BL265" s="44">
        <v>25.334999999999997</v>
      </c>
      <c r="BM265" s="44">
        <f>+BK265+BL265</f>
        <v>158.53500000000003</v>
      </c>
      <c r="BN265" s="47">
        <v>195.88235294117652</v>
      </c>
      <c r="BO265" s="47">
        <v>37.257352941176464</v>
      </c>
      <c r="BP265" s="45">
        <v>233.13970588235298</v>
      </c>
      <c r="BQ265" s="9">
        <v>680</v>
      </c>
      <c r="BR265" s="4">
        <v>32</v>
      </c>
      <c r="BS265" s="4">
        <v>1999</v>
      </c>
      <c r="BT265" s="4" t="s">
        <v>872</v>
      </c>
      <c r="BU265" s="4"/>
      <c r="BV265" s="4" t="s">
        <v>959</v>
      </c>
      <c r="BW265" s="4"/>
      <c r="BX265" s="4"/>
      <c r="BY265" s="9">
        <f>+INT(BK265*faktorji!$B$3)</f>
        <v>8658</v>
      </c>
      <c r="BZ265" s="9">
        <f>+INT(BL265*faktorji!$B$4)</f>
        <v>4180</v>
      </c>
      <c r="CA265" s="3" t="s">
        <v>1304</v>
      </c>
      <c r="CB265" s="4">
        <v>0</v>
      </c>
      <c r="CC265" s="4">
        <v>0.5</v>
      </c>
      <c r="CD265" s="4">
        <v>0</v>
      </c>
      <c r="CE265" s="4">
        <v>0</v>
      </c>
      <c r="CF265" s="4">
        <v>1</v>
      </c>
      <c r="CG265" s="4">
        <v>1</v>
      </c>
      <c r="CH265" s="4">
        <v>1</v>
      </c>
      <c r="CI265" s="9">
        <f>+BQ265*(CB265*faktorji!$B$21+'MOL_tabela rezultatov'!CF288*faktorji!$B$23+'MOL_tabela rezultatov'!CH288*faktorji!$B$26)+faktorji!$B$27*CG265</f>
        <v>19020</v>
      </c>
      <c r="CJ265" s="9">
        <f>+(BZ265*CF265*faktorji!$B$18)+(CG265*faktorji!$B$17*('MOL_tabela rezultatov'!BY288+'MOL_tabela rezultatov'!BZ288))+('MOL_tabela rezultatov'!CH288*faktorji!$B$16*'MOL_tabela rezultatov'!BY288)+('MOL_tabela rezultatov'!CB288*faktorji!$B$12*'MOL_tabela rezultatov'!BY288)</f>
        <v>4041.7000000000003</v>
      </c>
      <c r="CK265" s="66">
        <f>+CI265/CJ265</f>
        <v>4.7059405695623129</v>
      </c>
      <c r="CL265" s="3" t="str">
        <f>CONCATENATE(IF(CB265&gt;0,"kotlovnica/toplotna postaja, ",""),IF(CF265&gt;0,"razsvetljava, ",""),IF(CG265&gt;0,"energetsko upravljanje, ",""),IF(CH265&gt;0,"manjši investicijski in organizacijski ukrepi, ",""))</f>
        <v xml:space="preserve">razsvetljava, energetsko upravljanje, manjši investicijski in organizacijski ukrepi, </v>
      </c>
      <c r="CM265" s="9">
        <f>+CJ265*0.9</f>
        <v>3637.53</v>
      </c>
      <c r="CN265" s="9">
        <f>+CJ265*0.9</f>
        <v>3637.53</v>
      </c>
      <c r="CO265" s="9">
        <f>+CJ265*0.9</f>
        <v>3637.53</v>
      </c>
      <c r="CP265" s="69">
        <f>+IF(CI265-SUM(CM265:CO265)&lt;0,0,CI265-SUM(CM265:CO265))</f>
        <v>8107.41</v>
      </c>
      <c r="CQ265" s="9">
        <f>+(BQ265*CE265*faktorji!$B$24)+(BQ265^0.5*CC265*4*4*0.66*faktorji!$B$22)+(BQ265^0.5*CD265*4*4*0.33*faktorji!$B$25)</f>
        <v>9637.9888358515964</v>
      </c>
      <c r="CR265" s="3" t="str">
        <f t="shared" si="221"/>
        <v xml:space="preserve">izolacija ovoja, </v>
      </c>
      <c r="CS265" s="9">
        <f>+BQ265*('MOL_tabela rezultatov'!CH265*faktorji!$B$26)+faktorji!$B$27*CG265</f>
        <v>19020</v>
      </c>
      <c r="CT265" s="3" t="str">
        <f t="shared" si="219"/>
        <v xml:space="preserve">energetsko upravljanje, manjši investicijski in organizacijski ukrepi, </v>
      </c>
      <c r="CU265" s="9">
        <f t="shared" si="190"/>
        <v>4755</v>
      </c>
      <c r="CV265" s="9">
        <f t="shared" ref="CV265:CX265" si="245">+CU265</f>
        <v>4755</v>
      </c>
      <c r="CW265" s="9">
        <f t="shared" si="245"/>
        <v>4755</v>
      </c>
      <c r="CX265" s="69">
        <f t="shared" si="245"/>
        <v>4755</v>
      </c>
    </row>
    <row r="266" spans="1:102" s="10" customFormat="1" ht="18" hidden="1" customHeight="1">
      <c r="A266" s="53" t="s">
        <v>602</v>
      </c>
      <c r="B266" s="2" t="s">
        <v>603</v>
      </c>
      <c r="C266" s="57"/>
      <c r="D266" s="57"/>
      <c r="E266" s="51" t="s">
        <v>1176</v>
      </c>
      <c r="F266" s="51"/>
      <c r="G266" s="51">
        <v>3</v>
      </c>
      <c r="H266" s="51"/>
      <c r="I266" s="51"/>
      <c r="J266" s="51">
        <v>7</v>
      </c>
      <c r="K266" s="37" t="s">
        <v>1243</v>
      </c>
      <c r="L266" s="50"/>
      <c r="M266" s="4" t="s">
        <v>5</v>
      </c>
      <c r="N266" s="28">
        <v>225</v>
      </c>
      <c r="O266" s="25"/>
      <c r="P266" s="25"/>
      <c r="Q266" s="25"/>
      <c r="R266" s="25"/>
      <c r="S266" s="25"/>
      <c r="T266" s="25">
        <v>60.558</v>
      </c>
      <c r="U266" s="25">
        <v>285.55799999999999</v>
      </c>
      <c r="V266" s="30">
        <v>56.968955785512698</v>
      </c>
      <c r="W266" s="30">
        <v>211.6650987770461</v>
      </c>
      <c r="X266" s="31"/>
      <c r="Y266" s="31"/>
      <c r="Z266" s="31"/>
      <c r="AA266" s="31"/>
      <c r="AB266" s="31"/>
      <c r="AC266" s="31"/>
      <c r="AD266" s="31"/>
      <c r="AE266" s="32"/>
      <c r="AF266" s="16"/>
      <c r="AG266" s="3"/>
      <c r="AH266" s="4"/>
      <c r="AI266" s="6">
        <v>1063</v>
      </c>
      <c r="AJ266" s="38">
        <v>100</v>
      </c>
      <c r="AK266" s="3"/>
      <c r="AL266" s="1" t="s">
        <v>596</v>
      </c>
      <c r="AM266" s="39"/>
      <c r="AN266" s="39"/>
      <c r="AO266" s="39"/>
      <c r="AP266" s="39"/>
      <c r="AQ266" s="37"/>
      <c r="AR266" s="37"/>
      <c r="AS266" s="37"/>
      <c r="AT266" s="37"/>
      <c r="AU266" s="37"/>
      <c r="AV266" s="37"/>
      <c r="AW266" s="37"/>
      <c r="AX266" s="37"/>
      <c r="AY266" s="37"/>
      <c r="AZ266" s="37"/>
      <c r="BA266" s="37"/>
      <c r="BB266" s="37"/>
      <c r="BC266" s="37">
        <v>64.3</v>
      </c>
      <c r="BD266" s="37">
        <v>64.7</v>
      </c>
      <c r="BE266" s="37">
        <v>56.7</v>
      </c>
      <c r="BF266" s="37">
        <v>57.4</v>
      </c>
      <c r="BG266" s="42">
        <v>150.4</v>
      </c>
      <c r="BH266" s="42">
        <v>4.95</v>
      </c>
      <c r="BI266" s="42"/>
      <c r="BJ266" s="42"/>
      <c r="BK266" s="44">
        <v>155.35</v>
      </c>
      <c r="BL266" s="44">
        <v>60.774999999999999</v>
      </c>
      <c r="BM266" s="44">
        <f>+BK266+BL266</f>
        <v>216.125</v>
      </c>
      <c r="BN266" s="47">
        <v>144.91604477611941</v>
      </c>
      <c r="BO266" s="47">
        <v>56.693097014925371</v>
      </c>
      <c r="BP266" s="45">
        <v>201.60914179104478</v>
      </c>
      <c r="BQ266" s="9">
        <v>1072</v>
      </c>
      <c r="BR266" s="4">
        <v>12</v>
      </c>
      <c r="BS266" s="4">
        <v>2004</v>
      </c>
      <c r="BT266" s="4" t="s">
        <v>431</v>
      </c>
      <c r="BU266" s="4" t="s">
        <v>136</v>
      </c>
      <c r="BV266" s="4" t="s">
        <v>871</v>
      </c>
      <c r="BW266" s="4" t="s">
        <v>866</v>
      </c>
      <c r="BX266" s="4"/>
      <c r="BY266" s="9">
        <f>+INT(BK266*faktorji!$B$3)</f>
        <v>10097</v>
      </c>
      <c r="BZ266" s="9">
        <f>+INT(BL266*faktorji!$B$4)</f>
        <v>10027</v>
      </c>
      <c r="CA266" s="4"/>
      <c r="CB266" s="4">
        <v>0</v>
      </c>
      <c r="CC266" s="4">
        <v>1</v>
      </c>
      <c r="CD266" s="4">
        <v>0</v>
      </c>
      <c r="CE266" s="4">
        <v>1</v>
      </c>
      <c r="CF266" s="4">
        <v>1</v>
      </c>
      <c r="CG266" s="4">
        <v>1</v>
      </c>
      <c r="CH266" s="4">
        <v>1</v>
      </c>
      <c r="CI266" s="9">
        <f>+BQ266*(CB266*faktorji!$B$21+'MOL_tabela rezultatov'!CF222*faktorji!$B$23+'MOL_tabela rezultatov'!CH222*faktorji!$B$26)+faktorji!$B$27*CG266</f>
        <v>35688</v>
      </c>
      <c r="CJ266" s="9">
        <f>+(BZ266*CF266*faktorji!$B$18)+(CG266*faktorji!$B$17*('MOL_tabela rezultatov'!BY222+'MOL_tabela rezultatov'!BZ222))+('MOL_tabela rezultatov'!CH222*faktorji!$B$16*'MOL_tabela rezultatov'!BY222)+('MOL_tabela rezultatov'!CB222*faktorji!$B$12*'MOL_tabela rezultatov'!BY222)</f>
        <v>2893.02</v>
      </c>
      <c r="CK266" s="66">
        <f>+CI266/CJ266</f>
        <v>12.335898127216542</v>
      </c>
      <c r="CL266" s="3" t="str">
        <f>CONCATENATE(IF(CB266&gt;0,"kotlovnica/toplotna postaja, ",""),IF(CF266&gt;0,"razsvetljava, ",""),IF(CG266&gt;0,"energetsko upravljanje, ",""),IF(CH266&gt;0,"manjši investicijski in organizacijski ukrepi, ",""))</f>
        <v xml:space="preserve">razsvetljava, energetsko upravljanje, manjši investicijski in organizacijski ukrepi, </v>
      </c>
      <c r="CM266" s="9">
        <f>+CJ266*0.9</f>
        <v>2603.7179999999998</v>
      </c>
      <c r="CN266" s="9">
        <f>+CJ266*0.9</f>
        <v>2603.7179999999998</v>
      </c>
      <c r="CO266" s="9">
        <f>+CJ266*0.9</f>
        <v>2603.7179999999998</v>
      </c>
      <c r="CP266" s="69">
        <f>+IF(CI266-SUM(CM266:CO266)&lt;0,0,CI266-SUM(CM266:CO266))</f>
        <v>27876.846000000001</v>
      </c>
      <c r="CQ266" s="9">
        <f>+(BQ266*CE266*faktorji!$B$24)+(BQ266^0.5*CC266*4*4*0.66*faktorji!$B$22)+(BQ266^0.5*CD266*4*4*0.33*faktorji!$B$25)</f>
        <v>45642.451075872465</v>
      </c>
      <c r="CR266" s="3" t="str">
        <f t="shared" si="221"/>
        <v xml:space="preserve">izolacija ovoja, izolacija podstrešja, </v>
      </c>
      <c r="CS266" s="9">
        <f>+BQ266*('MOL_tabela rezultatov'!CH266*faktorji!$B$26)+faktorji!$B$27*CG266</f>
        <v>19608</v>
      </c>
      <c r="CT266" s="3" t="str">
        <f t="shared" si="219"/>
        <v xml:space="preserve">energetsko upravljanje, manjši investicijski in organizacijski ukrepi, </v>
      </c>
      <c r="CU266" s="9">
        <f t="shared" si="190"/>
        <v>4902</v>
      </c>
      <c r="CV266" s="9">
        <f t="shared" ref="CV266:CX266" si="246">+CU266</f>
        <v>4902</v>
      </c>
      <c r="CW266" s="9">
        <f t="shared" si="246"/>
        <v>4902</v>
      </c>
      <c r="CX266" s="69">
        <f t="shared" si="246"/>
        <v>4902</v>
      </c>
    </row>
    <row r="267" spans="1:102" s="10" customFormat="1" ht="18" customHeight="1">
      <c r="A267" s="118" t="s">
        <v>659</v>
      </c>
      <c r="B267" s="147" t="s">
        <v>660</v>
      </c>
      <c r="C267" s="56"/>
      <c r="D267" s="56"/>
      <c r="E267" s="51" t="s">
        <v>1176</v>
      </c>
      <c r="F267" s="51"/>
      <c r="G267" s="51">
        <v>2</v>
      </c>
      <c r="H267" s="51" t="s">
        <v>1252</v>
      </c>
      <c r="I267" s="51"/>
      <c r="J267" s="51">
        <v>2</v>
      </c>
      <c r="K267" s="37" t="s">
        <v>1243</v>
      </c>
      <c r="L267" s="50"/>
      <c r="M267" s="4" t="s">
        <v>7</v>
      </c>
      <c r="N267" s="25"/>
      <c r="O267" s="25"/>
      <c r="P267" s="25">
        <v>301</v>
      </c>
      <c r="Q267" s="25"/>
      <c r="R267" s="25"/>
      <c r="S267" s="25"/>
      <c r="T267" s="25">
        <v>55.4</v>
      </c>
      <c r="U267" s="25">
        <v>356.4</v>
      </c>
      <c r="V267" s="30">
        <v>39.571428571428569</v>
      </c>
      <c r="W267" s="30">
        <v>215</v>
      </c>
      <c r="X267" s="31"/>
      <c r="Y267" s="31"/>
      <c r="Z267" s="31"/>
      <c r="AA267" s="31"/>
      <c r="AB267" s="31"/>
      <c r="AC267" s="31"/>
      <c r="AD267" s="31"/>
      <c r="AE267" s="32"/>
      <c r="AF267" s="16"/>
      <c r="AG267" s="3"/>
      <c r="AH267" s="4"/>
      <c r="AI267" s="6">
        <v>1400</v>
      </c>
      <c r="AJ267" s="38">
        <v>100</v>
      </c>
      <c r="AK267" s="3"/>
      <c r="AL267" s="1" t="s">
        <v>619</v>
      </c>
      <c r="AM267" s="37"/>
      <c r="AN267" s="37"/>
      <c r="AO267" s="37"/>
      <c r="AP267" s="37"/>
      <c r="AQ267" s="37"/>
      <c r="AR267" s="37"/>
      <c r="AS267" s="37"/>
      <c r="AT267" s="37"/>
      <c r="AU267" s="37"/>
      <c r="AV267" s="37"/>
      <c r="AW267" s="37"/>
      <c r="AX267" s="37"/>
      <c r="AY267" s="37"/>
      <c r="AZ267" s="37"/>
      <c r="BA267" s="37"/>
      <c r="BB267" s="37"/>
      <c r="BC267" s="37">
        <v>58.99</v>
      </c>
      <c r="BD267" s="37">
        <v>58.26</v>
      </c>
      <c r="BE267" s="37">
        <v>53.88</v>
      </c>
      <c r="BF267" s="37">
        <v>49.72</v>
      </c>
      <c r="BG267" s="42"/>
      <c r="BH267" s="42"/>
      <c r="BI267" s="42">
        <v>250.62570000000002</v>
      </c>
      <c r="BJ267" s="42"/>
      <c r="BK267" s="44">
        <v>250.62570000000002</v>
      </c>
      <c r="BL267" s="44">
        <v>55.212499999999999</v>
      </c>
      <c r="BM267" s="44">
        <f>+BK267+BL267</f>
        <v>305.83820000000003</v>
      </c>
      <c r="BN267" s="47">
        <v>207.3</v>
      </c>
      <c r="BO267" s="47">
        <v>45.667907361455747</v>
      </c>
      <c r="BP267" s="45">
        <v>252.96790736145576</v>
      </c>
      <c r="BQ267" s="9">
        <v>1209</v>
      </c>
      <c r="BR267" s="4"/>
      <c r="BS267" s="4"/>
      <c r="BT267" s="4" t="s">
        <v>893</v>
      </c>
      <c r="BU267" s="1" t="s">
        <v>894</v>
      </c>
      <c r="BV267" s="4" t="s">
        <v>871</v>
      </c>
      <c r="BW267" s="4"/>
      <c r="BX267" s="4" t="s">
        <v>892</v>
      </c>
      <c r="BY267" s="9">
        <f>+INT(BK267*faktorji!$B$6)</f>
        <v>31328</v>
      </c>
      <c r="BZ267" s="9">
        <f>+INT(BL267*faktorji!$B$4)</f>
        <v>9110</v>
      </c>
      <c r="CA267" s="3" t="s">
        <v>1300</v>
      </c>
      <c r="CB267" s="4">
        <v>0</v>
      </c>
      <c r="CC267" s="4">
        <v>1</v>
      </c>
      <c r="CD267" s="4">
        <v>0</v>
      </c>
      <c r="CE267" s="4">
        <v>1</v>
      </c>
      <c r="CF267" s="4">
        <v>1</v>
      </c>
      <c r="CG267" s="4">
        <v>1</v>
      </c>
      <c r="CH267" s="4">
        <v>1</v>
      </c>
      <c r="CI267" s="9">
        <f>+BQ267*(CB267*faktorji!$B$21+'MOL_tabela rezultatov'!CF242*faktorji!$B$23+'MOL_tabela rezultatov'!CH242*faktorji!$B$26)+faktorji!$B$27*CG267</f>
        <v>37948.5</v>
      </c>
      <c r="CJ267" s="9">
        <f>+(BZ267*CF267*faktorji!$B$18)+(CG267*faktorji!$B$17*('MOL_tabela rezultatov'!BY242+'MOL_tabela rezultatov'!BZ242))+('MOL_tabela rezultatov'!CH242*faktorji!$B$16*'MOL_tabela rezultatov'!BY242)+('MOL_tabela rezultatov'!CB242*faktorji!$B$12*'MOL_tabela rezultatov'!BY242)</f>
        <v>4634.7</v>
      </c>
      <c r="CK267" s="66">
        <f>+CI267/CJ267</f>
        <v>8.1879086024985437</v>
      </c>
      <c r="CL267" s="3" t="str">
        <f>CONCATENATE(IF(CB267&gt;0,"kotlovnica/toplotna postaja, ",""),IF(CF267&gt;0,"razsvetljava, ",""),IF(CG267&gt;0,"energetsko upravljanje, ",""),IF(CH267&gt;0,"manjši investicijski in organizacijski ukrepi, ",""))</f>
        <v xml:space="preserve">razsvetljava, energetsko upravljanje, manjši investicijski in organizacijski ukrepi, </v>
      </c>
      <c r="CM267" s="9">
        <f>+CJ267*0.9</f>
        <v>4171.2299999999996</v>
      </c>
      <c r="CN267" s="9">
        <f>+CJ267*0.9</f>
        <v>4171.2299999999996</v>
      </c>
      <c r="CO267" s="9">
        <f>+CJ267*0.9</f>
        <v>4171.2299999999996</v>
      </c>
      <c r="CP267" s="69">
        <f>+IF(CI267-SUM(CM267:CO267)&lt;0,0,CI267-SUM(CM267:CO267))</f>
        <v>25434.81</v>
      </c>
      <c r="CQ267" s="9">
        <f>+(BQ267*CE267*faktorji!$B$24)+(BQ267^0.5*CC267*4*4*0.66*faktorji!$B$22)+(BQ267^0.5*CD267*4*4*0.33*faktorji!$B$25)</f>
        <v>49882.484661215145</v>
      </c>
      <c r="CR267" s="3" t="str">
        <f t="shared" si="221"/>
        <v xml:space="preserve">izolacija ovoja, izolacija podstrešja, </v>
      </c>
      <c r="CS267" s="9">
        <f>+BQ267*('MOL_tabela rezultatov'!CH267*faktorji!$B$26)+faktorji!$B$27*CG267</f>
        <v>19813.5</v>
      </c>
      <c r="CT267" s="3" t="str">
        <f t="shared" si="219"/>
        <v xml:space="preserve">energetsko upravljanje, manjši investicijski in organizacijski ukrepi, </v>
      </c>
      <c r="CU267" s="9">
        <f t="shared" si="190"/>
        <v>4953.375</v>
      </c>
      <c r="CV267" s="9">
        <f t="shared" ref="CV267:CX267" si="247">+CU267</f>
        <v>4953.375</v>
      </c>
      <c r="CW267" s="9">
        <f t="shared" si="247"/>
        <v>4953.375</v>
      </c>
      <c r="CX267" s="69">
        <f t="shared" si="247"/>
        <v>4953.375</v>
      </c>
    </row>
    <row r="268" spans="1:102" s="10" customFormat="1" ht="18" customHeight="1">
      <c r="A268" s="117" t="s">
        <v>806</v>
      </c>
      <c r="B268" s="146" t="s">
        <v>807</v>
      </c>
      <c r="C268" s="57"/>
      <c r="D268" s="57"/>
      <c r="E268" s="51" t="s">
        <v>1176</v>
      </c>
      <c r="F268" s="51"/>
      <c r="G268" s="51">
        <v>3</v>
      </c>
      <c r="H268" s="51"/>
      <c r="I268" s="51"/>
      <c r="J268" s="51">
        <v>7</v>
      </c>
      <c r="K268" s="37" t="s">
        <v>1243</v>
      </c>
      <c r="L268" s="50"/>
      <c r="M268" s="4" t="s">
        <v>6</v>
      </c>
      <c r="N268" s="25"/>
      <c r="O268" s="25">
        <v>411</v>
      </c>
      <c r="P268" s="25"/>
      <c r="Q268" s="25"/>
      <c r="R268" s="25"/>
      <c r="S268" s="25"/>
      <c r="T268" s="25">
        <v>57</v>
      </c>
      <c r="U268" s="25">
        <v>468</v>
      </c>
      <c r="V268" s="30">
        <v>39.283252929014473</v>
      </c>
      <c r="W268" s="30">
        <v>283.25292901447278</v>
      </c>
      <c r="X268" s="31"/>
      <c r="Y268" s="31"/>
      <c r="Z268" s="31"/>
      <c r="AA268" s="31"/>
      <c r="AB268" s="31"/>
      <c r="AC268" s="31"/>
      <c r="AD268" s="31"/>
      <c r="AE268" s="32"/>
      <c r="AF268" s="16" t="s">
        <v>808</v>
      </c>
      <c r="AG268" s="3">
        <v>1992</v>
      </c>
      <c r="AH268" s="4"/>
      <c r="AI268" s="6">
        <v>1451</v>
      </c>
      <c r="AJ268" s="38">
        <v>100</v>
      </c>
      <c r="AK268" s="3"/>
      <c r="AL268" s="1" t="s">
        <v>809</v>
      </c>
      <c r="AM268" s="37"/>
      <c r="AN268" s="37"/>
      <c r="AO268" s="37"/>
      <c r="AP268" s="37"/>
      <c r="AQ268" s="37"/>
      <c r="AR268" s="37"/>
      <c r="AS268" s="37"/>
      <c r="AT268" s="37"/>
      <c r="AU268" s="37"/>
      <c r="AV268" s="37"/>
      <c r="AW268" s="37"/>
      <c r="AX268" s="37"/>
      <c r="AY268" s="37"/>
      <c r="AZ268" s="37"/>
      <c r="BA268" s="37"/>
      <c r="BB268" s="37"/>
      <c r="BC268" s="37">
        <v>72.400000000000006</v>
      </c>
      <c r="BD268" s="37">
        <v>73.900000000000006</v>
      </c>
      <c r="BE268" s="37">
        <v>72.2</v>
      </c>
      <c r="BF268" s="37">
        <v>80.5</v>
      </c>
      <c r="BG268" s="42"/>
      <c r="BH268" s="42">
        <v>345.6</v>
      </c>
      <c r="BI268" s="42"/>
      <c r="BJ268" s="42"/>
      <c r="BK268" s="44">
        <v>345.6</v>
      </c>
      <c r="BL268" s="44">
        <v>74.75</v>
      </c>
      <c r="BM268" s="44">
        <f>+BK268+BL268</f>
        <v>420.35</v>
      </c>
      <c r="BN268" s="47">
        <v>238.18056512749828</v>
      </c>
      <c r="BO268" s="47">
        <v>51.516195727084771</v>
      </c>
      <c r="BP268" s="45">
        <v>289.69676085458303</v>
      </c>
      <c r="BQ268" s="9">
        <v>1451</v>
      </c>
      <c r="BR268" s="4" t="s">
        <v>978</v>
      </c>
      <c r="BS268" s="4">
        <v>1983</v>
      </c>
      <c r="BT268" s="4" t="s">
        <v>872</v>
      </c>
      <c r="BU268" s="4" t="s">
        <v>136</v>
      </c>
      <c r="BV268" s="4" t="s">
        <v>979</v>
      </c>
      <c r="BW268" s="4" t="s">
        <v>980</v>
      </c>
      <c r="BX268" s="4"/>
      <c r="BY268" s="9">
        <f>+INT(BK268*faktorji!$B$5)</f>
        <v>32832</v>
      </c>
      <c r="BZ268" s="9">
        <f>+INT(BL268*faktorji!$B$4)</f>
        <v>12333</v>
      </c>
      <c r="CA268" s="4"/>
      <c r="CB268" s="4">
        <v>1</v>
      </c>
      <c r="CC268" s="4">
        <v>0.5</v>
      </c>
      <c r="CD268" s="4">
        <v>1</v>
      </c>
      <c r="CE268" s="4">
        <v>0</v>
      </c>
      <c r="CF268" s="4">
        <v>1</v>
      </c>
      <c r="CG268" s="4">
        <v>1</v>
      </c>
      <c r="CH268" s="4">
        <v>1</v>
      </c>
      <c r="CI268" s="9">
        <f>+BQ268*(CB268*faktorji!$B$21+'MOL_tabela rezultatov'!CF294*faktorji!$B$23+'MOL_tabela rezultatov'!CH294*faktorji!$B$26)+faktorji!$B$27*CG268</f>
        <v>63706.5</v>
      </c>
      <c r="CJ268" s="9">
        <f>+(BZ268*CF268*faktorji!$B$18)+(CG268*faktorji!$B$17*('MOL_tabela rezultatov'!BY294+'MOL_tabela rezultatov'!BZ294))+('MOL_tabela rezultatov'!CH294*faktorji!$B$16*'MOL_tabela rezultatov'!BY294)+('MOL_tabela rezultatov'!CB294*faktorji!$B$12*'MOL_tabela rezultatov'!BY294)</f>
        <v>2004.6499999999999</v>
      </c>
      <c r="CK268" s="66">
        <f>+CI268/CJ268</f>
        <v>31.779362981069017</v>
      </c>
      <c r="CL268" s="3" t="str">
        <f>CONCATENATE(IF(CB268&gt;0,"kotlovnica/toplotna postaja, ",""),IF(CF268&gt;0,"razsvetljava, ",""),IF(CG268&gt;0,"energetsko upravljanje, ",""),IF(CH268&gt;0,"manjši investicijski in organizacijski ukrepi, ",""))</f>
        <v xml:space="preserve">kotlovnica/toplotna postaja, razsvetljava, energetsko upravljanje, manjši investicijski in organizacijski ukrepi, </v>
      </c>
      <c r="CM268" s="9">
        <f>+CJ268*0.9</f>
        <v>1804.1849999999999</v>
      </c>
      <c r="CN268" s="9">
        <f>+CJ268*0.9</f>
        <v>1804.1849999999999</v>
      </c>
      <c r="CO268" s="9">
        <f>+CJ268*0.9</f>
        <v>1804.1849999999999</v>
      </c>
      <c r="CP268" s="69">
        <f>+IF(CI268-SUM(CM268:CO268)&lt;0,0,CI268-SUM(CM268:CO268))</f>
        <v>58293.945</v>
      </c>
      <c r="CQ268" s="9">
        <f>+(BQ268*CE268*faktorji!$B$24)+(BQ268^0.5*CC268*4*4*0.66*faktorji!$B$22)+(BQ268^0.5*CD268*4*4*0.33*faktorji!$B$25)</f>
        <v>64360.232909460494</v>
      </c>
      <c r="CR268" s="3" t="str">
        <f t="shared" si="221"/>
        <v xml:space="preserve">izolacija ovoja, stavbno pohištvo, </v>
      </c>
      <c r="CS268" s="9">
        <f>+BQ268*('MOL_tabela rezultatov'!CH268*faktorji!$B$26)+faktorji!$B$27*CG268</f>
        <v>20176.5</v>
      </c>
      <c r="CT268" s="3" t="str">
        <f t="shared" si="219"/>
        <v xml:space="preserve">energetsko upravljanje, manjši investicijski in organizacijski ukrepi, </v>
      </c>
      <c r="CU268" s="9">
        <f t="shared" si="190"/>
        <v>5044.125</v>
      </c>
      <c r="CV268" s="9">
        <f t="shared" ref="CV268:CX268" si="248">+CU268</f>
        <v>5044.125</v>
      </c>
      <c r="CW268" s="9">
        <f t="shared" si="248"/>
        <v>5044.125</v>
      </c>
      <c r="CX268" s="69">
        <f t="shared" si="248"/>
        <v>5044.125</v>
      </c>
    </row>
    <row r="269" spans="1:102" s="10" customFormat="1" ht="18" hidden="1" customHeight="1">
      <c r="A269" s="54" t="s">
        <v>31</v>
      </c>
      <c r="B269" s="3" t="s">
        <v>32</v>
      </c>
      <c r="C269" s="56"/>
      <c r="D269" s="56"/>
      <c r="E269" s="51" t="s">
        <v>1168</v>
      </c>
      <c r="F269" s="51" t="s">
        <v>1255</v>
      </c>
      <c r="G269" s="51">
        <v>2</v>
      </c>
      <c r="H269" s="51"/>
      <c r="I269" s="51"/>
      <c r="J269" s="51">
        <v>4</v>
      </c>
      <c r="K269" s="37" t="s">
        <v>1241</v>
      </c>
      <c r="L269" s="50"/>
      <c r="M269" s="4" t="s">
        <v>5</v>
      </c>
      <c r="N269" s="25">
        <v>33.717248474276218</v>
      </c>
      <c r="O269" s="25"/>
      <c r="P269" s="25"/>
      <c r="Q269" s="25"/>
      <c r="R269" s="25"/>
      <c r="S269" s="25"/>
      <c r="T269" s="25">
        <v>19.527758309527439</v>
      </c>
      <c r="U269" s="25">
        <v>53.24500678380366</v>
      </c>
      <c r="V269" s="30">
        <v>97.638791547637183</v>
      </c>
      <c r="W269" s="30">
        <v>168.58624237138108</v>
      </c>
      <c r="X269" s="31"/>
      <c r="Y269" s="31"/>
      <c r="Z269" s="31"/>
      <c r="AA269" s="31"/>
      <c r="AB269" s="31"/>
      <c r="AC269" s="31"/>
      <c r="AD269" s="31"/>
      <c r="AE269" s="32">
        <v>0</v>
      </c>
      <c r="AF269" s="1"/>
      <c r="AG269" s="4"/>
      <c r="AH269" s="4" t="s">
        <v>12</v>
      </c>
      <c r="AI269" s="6">
        <v>200</v>
      </c>
      <c r="AJ269" s="38">
        <v>100</v>
      </c>
      <c r="AK269" s="3"/>
      <c r="AL269" s="1"/>
      <c r="AM269" s="37"/>
      <c r="AN269" s="37"/>
      <c r="AO269" s="37"/>
      <c r="AP269" s="37"/>
      <c r="AQ269" s="37"/>
      <c r="AR269" s="37"/>
      <c r="AS269" s="37"/>
      <c r="AT269" s="37"/>
      <c r="AU269" s="37"/>
      <c r="AV269" s="37"/>
      <c r="AW269" s="37"/>
      <c r="AX269" s="37"/>
      <c r="AY269" s="37"/>
      <c r="AZ269" s="37"/>
      <c r="BA269" s="37"/>
      <c r="BB269" s="37"/>
      <c r="BC269" s="37"/>
      <c r="BD269" s="37"/>
      <c r="BE269" s="37"/>
      <c r="BF269" s="37"/>
      <c r="BG269" s="42">
        <v>20.84</v>
      </c>
      <c r="BH269" s="42"/>
      <c r="BI269" s="42"/>
      <c r="BJ269" s="42"/>
      <c r="BK269" s="44">
        <v>20.84</v>
      </c>
      <c r="BL269" s="44">
        <v>13.819999999999999</v>
      </c>
      <c r="BM269" s="44">
        <f>+BK269+BL269</f>
        <v>34.659999999999997</v>
      </c>
      <c r="BN269" s="47">
        <v>104.2</v>
      </c>
      <c r="BO269" s="47">
        <v>69.099999999999994</v>
      </c>
      <c r="BP269" s="45">
        <v>173.3</v>
      </c>
      <c r="BQ269" s="9">
        <v>200</v>
      </c>
      <c r="BR269" s="4"/>
      <c r="BS269" s="4"/>
      <c r="BT269" s="4"/>
      <c r="BU269" s="4"/>
      <c r="BV269" s="4"/>
      <c r="BW269" s="4"/>
      <c r="BX269" s="4"/>
      <c r="BY269" s="9">
        <f>+INT(BK269*faktorji!$B$3)</f>
        <v>1354</v>
      </c>
      <c r="BZ269" s="9">
        <f>+INT(BL269*faktorji!$B$4)</f>
        <v>2280</v>
      </c>
      <c r="CA269" s="3" t="s">
        <v>1313</v>
      </c>
      <c r="CB269" s="4">
        <v>0</v>
      </c>
      <c r="CC269" s="4">
        <v>0</v>
      </c>
      <c r="CD269" s="4">
        <v>0</v>
      </c>
      <c r="CE269" s="4">
        <v>0</v>
      </c>
      <c r="CF269" s="4">
        <v>0</v>
      </c>
      <c r="CG269" s="4">
        <v>1</v>
      </c>
      <c r="CH269" s="4">
        <v>1</v>
      </c>
      <c r="CI269" s="9">
        <f>+BQ269*(CB269*faktorji!$B$21+'MOL_tabela rezultatov'!CF8*faktorji!$B$23+'MOL_tabela rezultatov'!CH8*faktorji!$B$26)+faktorji!$B$27*CG269</f>
        <v>21300</v>
      </c>
      <c r="CJ269" s="9">
        <f>+(BZ269*CF269*faktorji!$B$18)+(CG269*faktorji!$B$17*('MOL_tabela rezultatov'!BY8+'MOL_tabela rezultatov'!BZ8))+('MOL_tabela rezultatov'!CH8*faktorji!$B$16*'MOL_tabela rezultatov'!BY8)+('MOL_tabela rezultatov'!CB8*faktorji!$B$12*'MOL_tabela rezultatov'!BY8)</f>
        <v>5685</v>
      </c>
      <c r="CK269" s="66">
        <f>+CI269/CJ269</f>
        <v>3.7467018469656992</v>
      </c>
      <c r="CL269" s="3" t="str">
        <f>CONCATENATE(IF(CB269&gt;0,"kotlovnica/toplotna postaja, ",""),IF(CF269&gt;0,"razsvetljava, ",""),IF(CG269&gt;0,"energetsko upravljanje, ",""),IF(CH269&gt;0,"manjši investicijski in organizacijski ukrepi, ",""))</f>
        <v xml:space="preserve">energetsko upravljanje, manjši investicijski in organizacijski ukrepi, </v>
      </c>
      <c r="CM269" s="9">
        <f>+CJ269*0.9</f>
        <v>5116.5</v>
      </c>
      <c r="CN269" s="9">
        <f>+CJ269*0.9</f>
        <v>5116.5</v>
      </c>
      <c r="CO269" s="9">
        <f>+CJ269*0.9</f>
        <v>5116.5</v>
      </c>
      <c r="CP269" s="69">
        <f>+IF(CI269-SUM(CM269:CO269)&lt;0,0,CI269-SUM(CM269:CO269))</f>
        <v>5950.5</v>
      </c>
      <c r="CQ269" s="9">
        <f>+(BQ269*CE269*faktorji!$B$24)+(BQ269^0.5*CC269*4*4*0.66*faktorji!$B$22)+(BQ269^0.5*CD269*4*4*0.33*faktorji!$B$25)</f>
        <v>0</v>
      </c>
      <c r="CR269" s="3" t="str">
        <f t="shared" si="221"/>
        <v/>
      </c>
      <c r="CS269" s="9">
        <f>+BQ269*('MOL_tabela rezultatov'!CH269*faktorji!$B$26)+faktorji!$B$27*CG269</f>
        <v>18300</v>
      </c>
      <c r="CT269" s="3" t="str">
        <f t="shared" si="219"/>
        <v xml:space="preserve">energetsko upravljanje, manjši investicijski in organizacijski ukrepi, </v>
      </c>
      <c r="CU269" s="9">
        <f t="shared" si="190"/>
        <v>4575</v>
      </c>
      <c r="CV269" s="9">
        <f t="shared" ref="CV269:CX269" si="249">+CU269</f>
        <v>4575</v>
      </c>
      <c r="CW269" s="9">
        <f t="shared" si="249"/>
        <v>4575</v>
      </c>
      <c r="CX269" s="69">
        <f t="shared" si="249"/>
        <v>4575</v>
      </c>
    </row>
    <row r="270" spans="1:102" s="10" customFormat="1" ht="18" hidden="1" customHeight="1">
      <c r="A270" s="53" t="s">
        <v>661</v>
      </c>
      <c r="B270" s="2" t="s">
        <v>662</v>
      </c>
      <c r="C270" s="57"/>
      <c r="D270" s="57"/>
      <c r="E270" s="51" t="s">
        <v>1176</v>
      </c>
      <c r="F270" s="51"/>
      <c r="G270" s="51">
        <v>2</v>
      </c>
      <c r="H270" s="51"/>
      <c r="I270" s="51"/>
      <c r="J270" s="51">
        <v>2</v>
      </c>
      <c r="K270" s="37" t="s">
        <v>1243</v>
      </c>
      <c r="L270" s="50"/>
      <c r="M270" s="4" t="s">
        <v>7</v>
      </c>
      <c r="N270" s="25"/>
      <c r="O270" s="25"/>
      <c r="P270" s="25"/>
      <c r="Q270" s="25"/>
      <c r="R270" s="25">
        <v>62.8</v>
      </c>
      <c r="S270" s="25"/>
      <c r="T270" s="25">
        <v>4.0289999999999999</v>
      </c>
      <c r="U270" s="25">
        <v>66.828999999999994</v>
      </c>
      <c r="V270" s="30">
        <v>31.724409448818893</v>
      </c>
      <c r="W270" s="30">
        <v>494.48818897637796</v>
      </c>
      <c r="X270" s="31"/>
      <c r="Y270" s="31"/>
      <c r="Z270" s="31"/>
      <c r="AA270" s="31"/>
      <c r="AB270" s="31"/>
      <c r="AC270" s="31"/>
      <c r="AD270" s="31"/>
      <c r="AE270" s="32"/>
      <c r="AF270" s="16" t="s">
        <v>663</v>
      </c>
      <c r="AG270" s="3">
        <v>1996</v>
      </c>
      <c r="AH270" s="4"/>
      <c r="AI270" s="6">
        <v>127</v>
      </c>
      <c r="AJ270" s="38">
        <v>100</v>
      </c>
      <c r="AK270" s="3"/>
      <c r="AL270" s="1" t="s">
        <v>421</v>
      </c>
      <c r="AM270" s="37"/>
      <c r="AN270" s="37"/>
      <c r="AO270" s="37"/>
      <c r="AP270" s="37"/>
      <c r="AQ270" s="37"/>
      <c r="AR270" s="37"/>
      <c r="AS270" s="37"/>
      <c r="AT270" s="37"/>
      <c r="AU270" s="37"/>
      <c r="AV270" s="37"/>
      <c r="AW270" s="37"/>
      <c r="AX270" s="37"/>
      <c r="AY270" s="37">
        <v>77.28</v>
      </c>
      <c r="AZ270" s="37">
        <v>55.2</v>
      </c>
      <c r="BA270" s="37">
        <v>69</v>
      </c>
      <c r="BB270" s="37">
        <v>84.18</v>
      </c>
      <c r="BC270" s="37">
        <v>11.4</v>
      </c>
      <c r="BD270" s="37">
        <v>11.4</v>
      </c>
      <c r="BE270" s="37">
        <v>9.5</v>
      </c>
      <c r="BF270" s="37">
        <v>9.8000000000000007</v>
      </c>
      <c r="BG270" s="42"/>
      <c r="BH270" s="42"/>
      <c r="BI270" s="42"/>
      <c r="BJ270" s="42">
        <v>71.415000000000006</v>
      </c>
      <c r="BK270" s="44">
        <v>71.415000000000006</v>
      </c>
      <c r="BL270" s="44">
        <v>10.524999999999999</v>
      </c>
      <c r="BM270" s="44">
        <f>+BK270+BL270</f>
        <v>81.94</v>
      </c>
      <c r="BN270" s="47">
        <v>297.5625</v>
      </c>
      <c r="BO270" s="47">
        <v>43.854166666666657</v>
      </c>
      <c r="BP270" s="45">
        <v>341.41666666666669</v>
      </c>
      <c r="BQ270" s="9">
        <v>240</v>
      </c>
      <c r="BR270" s="4">
        <v>58</v>
      </c>
      <c r="BS270" s="4">
        <v>1979</v>
      </c>
      <c r="BT270" s="4" t="s">
        <v>872</v>
      </c>
      <c r="BU270" s="4"/>
      <c r="BV270" s="4"/>
      <c r="BW270" s="4" t="s">
        <v>899</v>
      </c>
      <c r="BX270" s="4"/>
      <c r="BY270" s="9">
        <f>+INT(BK270*faktorji!$B$6)</f>
        <v>8926</v>
      </c>
      <c r="BZ270" s="9">
        <f>+INT(BL270*faktorji!$B$4)</f>
        <v>1736</v>
      </c>
      <c r="CA270" s="3" t="s">
        <v>1303</v>
      </c>
      <c r="CB270" s="4">
        <v>1</v>
      </c>
      <c r="CC270" s="4">
        <v>1</v>
      </c>
      <c r="CD270" s="4">
        <v>1</v>
      </c>
      <c r="CE270" s="4">
        <v>1</v>
      </c>
      <c r="CF270" s="4">
        <v>1</v>
      </c>
      <c r="CG270" s="4">
        <v>1</v>
      </c>
      <c r="CH270" s="4">
        <v>1</v>
      </c>
      <c r="CI270" s="9">
        <f>+BQ270*(CB270*faktorji!$B$21+'MOL_tabela rezultatov'!CF243*faktorji!$B$23+'MOL_tabela rezultatov'!CH243*faktorji!$B$26)+faktorji!$B$27*CG270</f>
        <v>25560</v>
      </c>
      <c r="CJ270" s="9">
        <f>+(BZ270*CF270*faktorji!$B$18)+(CG270*faktorji!$B$17*('MOL_tabela rezultatov'!BY243+'MOL_tabela rezultatov'!BZ243))+('MOL_tabela rezultatov'!CH243*faktorji!$B$16*'MOL_tabela rezultatov'!BY243)+('MOL_tabela rezultatov'!CB243*faktorji!$B$12*'MOL_tabela rezultatov'!BY243)</f>
        <v>4822.3</v>
      </c>
      <c r="CK270" s="66">
        <f>+CI270/CJ270</f>
        <v>5.300375339568256</v>
      </c>
      <c r="CL270" s="3" t="str">
        <f>CONCATENATE(IF(CB270&gt;0,"kotlovnica/toplotna postaja, ",""),IF(CF270&gt;0,"razsvetljava, ",""),IF(CG270&gt;0,"energetsko upravljanje, ",""),IF(CH270&gt;0,"manjši investicijski in organizacijski ukrepi, ",""))</f>
        <v xml:space="preserve">kotlovnica/toplotna postaja, razsvetljava, energetsko upravljanje, manjši investicijski in organizacijski ukrepi, </v>
      </c>
      <c r="CM270" s="9">
        <f>+CJ270*0.9</f>
        <v>4340.0700000000006</v>
      </c>
      <c r="CN270" s="9">
        <f>+CJ270*0.9</f>
        <v>4340.0700000000006</v>
      </c>
      <c r="CO270" s="9">
        <f>+CJ270*0.9</f>
        <v>4340.0700000000006</v>
      </c>
      <c r="CP270" s="69">
        <f>+IF(CI270-SUM(CM270:CO270)&lt;0,0,CI270-SUM(CM270:CO270))</f>
        <v>12539.789999999997</v>
      </c>
      <c r="CQ270" s="9">
        <f>+(BQ270*CE270*faktorji!$B$24)+(BQ270^0.5*CC270*4*4*0.66*faktorji!$B$22)+(BQ270^0.5*CD270*4*4*0.33*faktorji!$B$25)</f>
        <v>36700.989226041253</v>
      </c>
      <c r="CR270" s="3" t="str">
        <f t="shared" si="221"/>
        <v xml:space="preserve">izolacija ovoja, stavbno pohištvo, izolacija podstrešja, </v>
      </c>
      <c r="CS270" s="9">
        <f>+BQ270*('MOL_tabela rezultatov'!CH270*faktorji!$B$26)+faktorji!$B$27*CG270</f>
        <v>18360</v>
      </c>
      <c r="CT270" s="3" t="str">
        <f t="shared" si="219"/>
        <v xml:space="preserve">energetsko upravljanje, manjši investicijski in organizacijski ukrepi, </v>
      </c>
      <c r="CU270" s="9">
        <f t="shared" si="190"/>
        <v>4590</v>
      </c>
      <c r="CV270" s="9">
        <f t="shared" ref="CV270:CX270" si="250">+CU270</f>
        <v>4590</v>
      </c>
      <c r="CW270" s="9">
        <f t="shared" si="250"/>
        <v>4590</v>
      </c>
      <c r="CX270" s="69">
        <f t="shared" si="250"/>
        <v>4590</v>
      </c>
    </row>
    <row r="271" spans="1:102" s="10" customFormat="1" ht="18" hidden="1" customHeight="1">
      <c r="A271" s="53" t="s">
        <v>248</v>
      </c>
      <c r="B271" s="2" t="s">
        <v>256</v>
      </c>
      <c r="C271" s="57"/>
      <c r="D271" s="57"/>
      <c r="E271" s="51" t="s">
        <v>1173</v>
      </c>
      <c r="F271" s="51"/>
      <c r="G271" s="51">
        <v>3</v>
      </c>
      <c r="H271" s="51"/>
      <c r="I271" s="51"/>
      <c r="J271" s="51">
        <v>7</v>
      </c>
      <c r="K271" s="37" t="s">
        <v>1241</v>
      </c>
      <c r="L271" s="50"/>
      <c r="M271" s="4" t="s">
        <v>5</v>
      </c>
      <c r="N271" s="25">
        <v>31.33631326187443</v>
      </c>
      <c r="O271" s="25"/>
      <c r="P271" s="25"/>
      <c r="Q271" s="25"/>
      <c r="R271" s="25"/>
      <c r="S271" s="25"/>
      <c r="T271" s="25">
        <v>5.51</v>
      </c>
      <c r="U271" s="25"/>
      <c r="V271" s="30">
        <v>31.485714285714284</v>
      </c>
      <c r="W271" s="30">
        <v>179.06464721071103</v>
      </c>
      <c r="X271" s="31"/>
      <c r="Y271" s="31"/>
      <c r="Z271" s="31"/>
      <c r="AA271" s="31"/>
      <c r="AB271" s="31"/>
      <c r="AC271" s="31">
        <v>6.3</v>
      </c>
      <c r="AD271" s="31"/>
      <c r="AE271" s="32">
        <v>0</v>
      </c>
      <c r="AF271" s="1"/>
      <c r="AG271" s="4"/>
      <c r="AH271" s="4"/>
      <c r="AI271" s="6">
        <v>175</v>
      </c>
      <c r="AJ271" s="38">
        <v>100</v>
      </c>
      <c r="AK271" s="3"/>
      <c r="AL271" s="1"/>
      <c r="AM271" s="37"/>
      <c r="AN271" s="37"/>
      <c r="AO271" s="37"/>
      <c r="AP271" s="37"/>
      <c r="AQ271" s="37"/>
      <c r="AR271" s="37"/>
      <c r="AS271" s="37"/>
      <c r="AT271" s="37"/>
      <c r="AU271" s="37"/>
      <c r="AV271" s="37"/>
      <c r="AW271" s="37"/>
      <c r="AX271" s="37"/>
      <c r="AY271" s="37"/>
      <c r="AZ271" s="37"/>
      <c r="BA271" s="37"/>
      <c r="BB271" s="37"/>
      <c r="BC271" s="37"/>
      <c r="BD271" s="37"/>
      <c r="BE271" s="37"/>
      <c r="BF271" s="37"/>
      <c r="BG271" s="42">
        <v>22.522499999999997</v>
      </c>
      <c r="BH271" s="42"/>
      <c r="BI271" s="42"/>
      <c r="BJ271" s="42"/>
      <c r="BK271" s="44">
        <v>22.522499999999997</v>
      </c>
      <c r="BL271" s="44">
        <v>5.51</v>
      </c>
      <c r="BM271" s="44">
        <f>+BK271+BL271</f>
        <v>28.032499999999999</v>
      </c>
      <c r="BN271" s="47">
        <v>128.69999999999999</v>
      </c>
      <c r="BO271" s="47">
        <v>31.485714285714284</v>
      </c>
      <c r="BP271" s="45">
        <v>160.18571428571428</v>
      </c>
      <c r="BQ271" s="9">
        <v>175</v>
      </c>
      <c r="BR271" s="4"/>
      <c r="BS271" s="4"/>
      <c r="BT271" s="4"/>
      <c r="BU271" s="4"/>
      <c r="BV271" s="4"/>
      <c r="BW271" s="4"/>
      <c r="BX271" s="4"/>
      <c r="BY271" s="9">
        <f>+INT(BK271*faktorji!$B$3)</f>
        <v>1463</v>
      </c>
      <c r="BZ271" s="9">
        <f>+INT(BL271*faktorji!$B$4)</f>
        <v>909</v>
      </c>
      <c r="CA271" s="4"/>
      <c r="CB271" s="4">
        <v>0</v>
      </c>
      <c r="CC271" s="4">
        <v>0</v>
      </c>
      <c r="CD271" s="4">
        <v>0</v>
      </c>
      <c r="CE271" s="4">
        <v>0</v>
      </c>
      <c r="CF271" s="4">
        <v>1</v>
      </c>
      <c r="CG271" s="4">
        <v>1</v>
      </c>
      <c r="CH271" s="4">
        <v>1</v>
      </c>
      <c r="CI271" s="9">
        <f>+BQ271*(CB271*faktorji!$B$21+'MOL_tabela rezultatov'!CF94*faktorji!$B$23+'MOL_tabela rezultatov'!CH94*faktorji!$B$26)+faktorji!$B$27*CG271</f>
        <v>20887.5</v>
      </c>
      <c r="CJ271" s="9">
        <f>+(BZ271*CF271*faktorji!$B$18)+(CG271*faktorji!$B$17*('MOL_tabela rezultatov'!BY94+'MOL_tabela rezultatov'!BZ94))+('MOL_tabela rezultatov'!CH94*faktorji!$B$16*'MOL_tabela rezultatov'!BY94)+('MOL_tabela rezultatov'!CB94*faktorji!$B$12*'MOL_tabela rezultatov'!BY94)</f>
        <v>416.35</v>
      </c>
      <c r="CK271" s="66">
        <f>+CI271/CJ271</f>
        <v>50.168127777110598</v>
      </c>
      <c r="CL271" s="3" t="str">
        <f>CONCATENATE(IF(CB271&gt;0,"kotlovnica/toplotna postaja, ",""),IF(CF271&gt;0,"razsvetljava, ",""),IF(CG271&gt;0,"energetsko upravljanje, ",""),IF(CH271&gt;0,"manjši investicijski in organizacijski ukrepi, ",""))</f>
        <v xml:space="preserve">razsvetljava, energetsko upravljanje, manjši investicijski in organizacijski ukrepi, </v>
      </c>
      <c r="CM271" s="9">
        <f>+CJ271*0.9</f>
        <v>374.71500000000003</v>
      </c>
      <c r="CN271" s="9">
        <f>+CJ271*0.9</f>
        <v>374.71500000000003</v>
      </c>
      <c r="CO271" s="9">
        <f>+CJ271*0.9</f>
        <v>374.71500000000003</v>
      </c>
      <c r="CP271" s="69">
        <f>+IF(CI271-SUM(CM271:CO271)&lt;0,0,CI271-SUM(CM271:CO271))</f>
        <v>19763.355</v>
      </c>
      <c r="CQ271" s="9">
        <f>+(BQ271*CE271*faktorji!$B$24)+(BQ271^0.5*CC271*4*4*0.66*faktorji!$B$22)+(BQ271^0.5*CD271*4*4*0.33*faktorji!$B$25)</f>
        <v>0</v>
      </c>
      <c r="CR271" s="3" t="str">
        <f t="shared" si="221"/>
        <v/>
      </c>
      <c r="CS271" s="9">
        <f>+BQ271*('MOL_tabela rezultatov'!CH271*faktorji!$B$26)+faktorji!$B$27*CG271</f>
        <v>18262.5</v>
      </c>
      <c r="CT271" s="3" t="str">
        <f t="shared" si="219"/>
        <v xml:space="preserve">energetsko upravljanje, manjši investicijski in organizacijski ukrepi, </v>
      </c>
      <c r="CU271" s="9">
        <f t="shared" ref="CU271:CU308" si="251">+CS271/4</f>
        <v>4565.625</v>
      </c>
      <c r="CV271" s="9">
        <f t="shared" ref="CV271:CX271" si="252">+CU271</f>
        <v>4565.625</v>
      </c>
      <c r="CW271" s="9">
        <f t="shared" si="252"/>
        <v>4565.625</v>
      </c>
      <c r="CX271" s="69">
        <f t="shared" si="252"/>
        <v>4565.625</v>
      </c>
    </row>
    <row r="272" spans="1:102" s="10" customFormat="1" ht="18" hidden="1" customHeight="1">
      <c r="A272" s="54" t="s">
        <v>271</v>
      </c>
      <c r="B272" s="3" t="s">
        <v>272</v>
      </c>
      <c r="C272" s="56"/>
      <c r="D272" s="56"/>
      <c r="E272" s="51" t="s">
        <v>1174</v>
      </c>
      <c r="F272" s="51"/>
      <c r="G272" s="51">
        <v>4</v>
      </c>
      <c r="H272" s="51"/>
      <c r="I272" s="51"/>
      <c r="J272" s="51">
        <v>7</v>
      </c>
      <c r="K272" s="37" t="s">
        <v>1241</v>
      </c>
      <c r="L272" s="50"/>
      <c r="M272" s="4" t="s">
        <v>5</v>
      </c>
      <c r="N272" s="25">
        <v>8.2054239647234244</v>
      </c>
      <c r="O272" s="25"/>
      <c r="P272" s="25"/>
      <c r="Q272" s="25"/>
      <c r="R272" s="25"/>
      <c r="S272" s="25"/>
      <c r="T272" s="25">
        <v>1.3</v>
      </c>
      <c r="U272" s="25">
        <v>9.5054239647234251</v>
      </c>
      <c r="V272" s="30">
        <v>22.491349480968861</v>
      </c>
      <c r="W272" s="30">
        <v>141.96235233085511</v>
      </c>
      <c r="X272" s="31"/>
      <c r="Y272" s="31"/>
      <c r="Z272" s="31"/>
      <c r="AA272" s="31"/>
      <c r="AB272" s="31"/>
      <c r="AC272" s="31">
        <v>0.69</v>
      </c>
      <c r="AD272" s="31"/>
      <c r="AE272" s="32">
        <v>0</v>
      </c>
      <c r="AF272" s="1"/>
      <c r="AG272" s="4"/>
      <c r="AH272" s="4"/>
      <c r="AI272" s="6">
        <v>57.8</v>
      </c>
      <c r="AJ272" s="38">
        <v>100</v>
      </c>
      <c r="AK272" s="3"/>
      <c r="AL272" s="1"/>
      <c r="AM272" s="37"/>
      <c r="AN272" s="37"/>
      <c r="AO272" s="37"/>
      <c r="AP272" s="37"/>
      <c r="AQ272" s="37"/>
      <c r="AR272" s="37"/>
      <c r="AS272" s="37"/>
      <c r="AT272" s="37"/>
      <c r="AU272" s="37"/>
      <c r="AV272" s="37"/>
      <c r="AW272" s="37"/>
      <c r="AX272" s="37"/>
      <c r="AY272" s="37"/>
      <c r="AZ272" s="37"/>
      <c r="BA272" s="37"/>
      <c r="BB272" s="37"/>
      <c r="BC272" s="37"/>
      <c r="BD272" s="37"/>
      <c r="BE272" s="37"/>
      <c r="BF272" s="37"/>
      <c r="BG272" s="42">
        <v>7.5197799999999999</v>
      </c>
      <c r="BH272" s="42"/>
      <c r="BI272" s="42"/>
      <c r="BJ272" s="42"/>
      <c r="BK272" s="44">
        <v>7.5197799999999999</v>
      </c>
      <c r="BL272" s="44">
        <v>1.3</v>
      </c>
      <c r="BM272" s="44">
        <f>+BK272+BL272</f>
        <v>8.8197799999999997</v>
      </c>
      <c r="BN272" s="47">
        <v>130.1</v>
      </c>
      <c r="BO272" s="47">
        <v>22.491349480968861</v>
      </c>
      <c r="BP272" s="45">
        <v>152.59134948096886</v>
      </c>
      <c r="BQ272" s="6">
        <v>57.8</v>
      </c>
      <c r="BR272" s="4"/>
      <c r="BS272" s="4"/>
      <c r="BT272" s="4"/>
      <c r="BU272" s="4"/>
      <c r="BV272" s="4"/>
      <c r="BW272" s="4"/>
      <c r="BX272" s="4"/>
      <c r="BY272" s="9">
        <f>+INT(BK272*faktorji!$B$3)</f>
        <v>488</v>
      </c>
      <c r="BZ272" s="9">
        <f>+INT(BL272*faktorji!$B$4)</f>
        <v>214</v>
      </c>
      <c r="CA272" s="4"/>
      <c r="CB272" s="4">
        <v>0</v>
      </c>
      <c r="CC272" s="4">
        <v>0</v>
      </c>
      <c r="CD272" s="4">
        <v>0</v>
      </c>
      <c r="CE272" s="4">
        <v>0</v>
      </c>
      <c r="CF272" s="4">
        <v>1</v>
      </c>
      <c r="CG272" s="4">
        <v>1</v>
      </c>
      <c r="CH272" s="4">
        <v>1</v>
      </c>
      <c r="CI272" s="9">
        <f>+BQ272*(CB272*faktorji!$B$21+'MOL_tabela rezultatov'!CF105*faktorji!$B$23+'MOL_tabela rezultatov'!CH105*faktorji!$B$26)+faktorji!$B$27*CG272</f>
        <v>18953.7</v>
      </c>
      <c r="CJ272" s="9">
        <f>+(BZ272*CF272*faktorji!$B$18)+(CG272*faktorji!$B$17*('MOL_tabela rezultatov'!BY105+'MOL_tabela rezultatov'!BZ105))+('MOL_tabela rezultatov'!CH105*faktorji!$B$16*'MOL_tabela rezultatov'!BY105)+('MOL_tabela rezultatov'!CB105*faktorji!$B$12*'MOL_tabela rezultatov'!BY105)</f>
        <v>21773.7</v>
      </c>
      <c r="CK272" s="66">
        <f>+CI272/CJ272</f>
        <v>0.87048595323716227</v>
      </c>
      <c r="CL272" s="3" t="str">
        <f>CONCATENATE(IF(CB272&gt;0,"kotlovnica/toplotna postaja, ",""),IF(CF272&gt;0,"razsvetljava, ",""),IF(CG272&gt;0,"energetsko upravljanje, ",""),IF(CH272&gt;0,"manjši investicijski in organizacijski ukrepi, ",""))</f>
        <v xml:space="preserve">razsvetljava, energetsko upravljanje, manjši investicijski in organizacijski ukrepi, </v>
      </c>
      <c r="CM272" s="9">
        <f>+CJ272*0.9</f>
        <v>19596.330000000002</v>
      </c>
      <c r="CN272" s="9">
        <f>+CJ272*0.9</f>
        <v>19596.330000000002</v>
      </c>
      <c r="CO272" s="9">
        <f>+CJ272*0.9</f>
        <v>19596.330000000002</v>
      </c>
      <c r="CP272" s="69">
        <f>+IF(CI272-SUM(CM272:CO272)&lt;0,0,CI272-SUM(CM272:CO272))</f>
        <v>0</v>
      </c>
      <c r="CQ272" s="9">
        <f>+(BQ272*CE272*faktorji!$B$24)+(BQ272^0.5*CC272*4*4*0.66*faktorji!$B$22)+(BQ272^0.5*CD272*4*4*0.33*faktorji!$B$25)</f>
        <v>0</v>
      </c>
      <c r="CR272" s="3" t="str">
        <f t="shared" si="221"/>
        <v/>
      </c>
      <c r="CS272" s="9">
        <f>+BQ272*('MOL_tabela rezultatov'!CH272*faktorji!$B$26)+faktorji!$B$27*CG272</f>
        <v>18086.7</v>
      </c>
      <c r="CT272" s="3" t="str">
        <f t="shared" si="219"/>
        <v xml:space="preserve">energetsko upravljanje, manjši investicijski in organizacijski ukrepi, </v>
      </c>
      <c r="CU272" s="9">
        <f t="shared" si="251"/>
        <v>4521.6750000000002</v>
      </c>
      <c r="CV272" s="9">
        <f t="shared" ref="CV272:CX272" si="253">+CU272</f>
        <v>4521.6750000000002</v>
      </c>
      <c r="CW272" s="9">
        <f t="shared" si="253"/>
        <v>4521.6750000000002</v>
      </c>
      <c r="CX272" s="69">
        <f t="shared" si="253"/>
        <v>4521.6750000000002</v>
      </c>
    </row>
    <row r="273" spans="1:102" s="10" customFormat="1" ht="18" hidden="1" customHeight="1">
      <c r="A273" s="53" t="s">
        <v>473</v>
      </c>
      <c r="B273" s="3" t="s">
        <v>474</v>
      </c>
      <c r="C273" s="57"/>
      <c r="D273" s="57"/>
      <c r="E273" s="51" t="s">
        <v>1175</v>
      </c>
      <c r="F273" s="51"/>
      <c r="G273" s="51">
        <v>3</v>
      </c>
      <c r="H273" s="51"/>
      <c r="I273" s="51"/>
      <c r="J273" s="51">
        <v>7</v>
      </c>
      <c r="K273" s="37" t="s">
        <v>1244</v>
      </c>
      <c r="L273" s="50"/>
      <c r="M273" s="4" t="s">
        <v>5</v>
      </c>
      <c r="N273" s="28">
        <v>524</v>
      </c>
      <c r="O273" s="25"/>
      <c r="P273" s="25"/>
      <c r="Q273" s="25"/>
      <c r="R273" s="25"/>
      <c r="S273" s="25"/>
      <c r="T273" s="25">
        <v>104.358</v>
      </c>
      <c r="U273" s="25">
        <v>628.35799999999995</v>
      </c>
      <c r="V273" s="30">
        <v>18.276357267950964</v>
      </c>
      <c r="W273" s="30">
        <v>91.768826619964969</v>
      </c>
      <c r="X273" s="31"/>
      <c r="Y273" s="31"/>
      <c r="Z273" s="31"/>
      <c r="AA273" s="31"/>
      <c r="AB273" s="31"/>
      <c r="AC273" s="31"/>
      <c r="AD273" s="31"/>
      <c r="AE273" s="32"/>
      <c r="AF273" s="16" t="s">
        <v>431</v>
      </c>
      <c r="AG273" s="3"/>
      <c r="AH273" s="4"/>
      <c r="AI273" s="6">
        <v>5710</v>
      </c>
      <c r="AJ273" s="38">
        <v>100</v>
      </c>
      <c r="AK273" s="3"/>
      <c r="AL273" s="1" t="s">
        <v>475</v>
      </c>
      <c r="AM273" s="39"/>
      <c r="AN273" s="39"/>
      <c r="AO273" s="39"/>
      <c r="AP273" s="39"/>
      <c r="AQ273" s="37"/>
      <c r="AR273" s="37"/>
      <c r="AS273" s="37"/>
      <c r="AT273" s="37"/>
      <c r="AU273" s="37"/>
      <c r="AV273" s="37"/>
      <c r="AW273" s="37"/>
      <c r="AX273" s="37"/>
      <c r="AY273" s="37"/>
      <c r="AZ273" s="37"/>
      <c r="BA273" s="37"/>
      <c r="BB273" s="37"/>
      <c r="BC273" s="37"/>
      <c r="BD273" s="37"/>
      <c r="BE273" s="37"/>
      <c r="BF273" s="37"/>
      <c r="BG273" s="42">
        <v>622.6</v>
      </c>
      <c r="BH273" s="42"/>
      <c r="BI273" s="42"/>
      <c r="BJ273" s="42"/>
      <c r="BK273" s="44">
        <v>622.6</v>
      </c>
      <c r="BL273" s="44">
        <v>104.36</v>
      </c>
      <c r="BM273" s="44">
        <f>+BK273+BL273</f>
        <v>726.96</v>
      </c>
      <c r="BN273" s="47">
        <v>109.03677758318739</v>
      </c>
      <c r="BO273" s="47">
        <v>18.276707530647986</v>
      </c>
      <c r="BP273" s="45">
        <v>127.31348511383537</v>
      </c>
      <c r="BQ273" s="9">
        <v>5710</v>
      </c>
      <c r="BR273" s="4"/>
      <c r="BS273" s="4"/>
      <c r="BT273" s="4"/>
      <c r="BU273" s="4"/>
      <c r="BV273" s="4"/>
      <c r="BW273" s="4"/>
      <c r="BX273" s="4"/>
      <c r="BY273" s="9">
        <f>+INT(BK273*faktorji!$B$3)</f>
        <v>40469</v>
      </c>
      <c r="BZ273" s="9">
        <f>+INT(BL273*faktorji!$B$4)</f>
        <v>17219</v>
      </c>
      <c r="CA273" s="4"/>
      <c r="CB273" s="4">
        <v>0</v>
      </c>
      <c r="CC273" s="4">
        <v>0</v>
      </c>
      <c r="CD273" s="4">
        <v>0</v>
      </c>
      <c r="CE273" s="4">
        <v>0</v>
      </c>
      <c r="CF273" s="4">
        <v>0</v>
      </c>
      <c r="CG273" s="4">
        <v>1</v>
      </c>
      <c r="CH273" s="4">
        <v>1</v>
      </c>
      <c r="CI273" s="9">
        <f>+BQ273*(CB273*faktorji!$B$21+'MOL_tabela rezultatov'!CF183*faktorji!$B$23+'MOL_tabela rezultatov'!CH183*faktorji!$B$26)+faktorji!$B$27*CG273</f>
        <v>26565</v>
      </c>
      <c r="CJ273" s="9">
        <f>+(BZ273*CF273*faktorji!$B$18)+(CG273*faktorji!$B$17*('MOL_tabela rezultatov'!BY183+'MOL_tabela rezultatov'!BZ183))+('MOL_tabela rezultatov'!CH183*faktorji!$B$16*'MOL_tabela rezultatov'!BY183)+('MOL_tabela rezultatov'!CB183*faktorji!$B$12*'MOL_tabela rezultatov'!BY183)</f>
        <v>1081.7</v>
      </c>
      <c r="CK273" s="66">
        <f>+CI273/CJ273</f>
        <v>24.558565221410742</v>
      </c>
      <c r="CL273" s="3" t="str">
        <f>CONCATENATE(IF(CB273&gt;0,"kotlovnica/toplotna postaja, ",""),IF(CF273&gt;0,"razsvetljava, ",""),IF(CG273&gt;0,"energetsko upravljanje, ",""),IF(CH273&gt;0,"manjši investicijski in organizacijski ukrepi, ",""))</f>
        <v xml:space="preserve">energetsko upravljanje, manjši investicijski in organizacijski ukrepi, </v>
      </c>
      <c r="CM273" s="9">
        <f>+CJ273*0.9</f>
        <v>973.53000000000009</v>
      </c>
      <c r="CN273" s="9">
        <f>+CJ273*0.9</f>
        <v>973.53000000000009</v>
      </c>
      <c r="CO273" s="9">
        <f>+CJ273*0.9</f>
        <v>973.53000000000009</v>
      </c>
      <c r="CP273" s="69">
        <f>+IF(CI273-SUM(CM273:CO273)&lt;0,0,CI273-SUM(CM273:CO273))</f>
        <v>23644.41</v>
      </c>
      <c r="CQ273" s="9">
        <f>+(BQ273*CE273*faktorji!$B$24)+(BQ273^0.5*CC273*4*4*0.66*faktorji!$B$22)+(BQ273^0.5*CD273*4*4*0.33*faktorji!$B$25)</f>
        <v>0</v>
      </c>
      <c r="CR273" s="3" t="str">
        <f t="shared" si="221"/>
        <v/>
      </c>
      <c r="CS273" s="9">
        <f>+BQ273*('MOL_tabela rezultatov'!CH273*faktorji!$B$26)+faktorji!$B$27*CG273</f>
        <v>26565</v>
      </c>
      <c r="CT273" s="3" t="str">
        <f t="shared" si="219"/>
        <v xml:space="preserve">energetsko upravljanje, manjši investicijski in organizacijski ukrepi, </v>
      </c>
      <c r="CU273" s="9">
        <f t="shared" si="251"/>
        <v>6641.25</v>
      </c>
      <c r="CV273" s="9">
        <f t="shared" ref="CV273:CX273" si="254">+CU273</f>
        <v>6641.25</v>
      </c>
      <c r="CW273" s="9">
        <f t="shared" si="254"/>
        <v>6641.25</v>
      </c>
      <c r="CX273" s="69">
        <f t="shared" si="254"/>
        <v>6641.25</v>
      </c>
    </row>
    <row r="274" spans="1:102" s="10" customFormat="1" ht="18" hidden="1" customHeight="1">
      <c r="A274" s="54" t="s">
        <v>82</v>
      </c>
      <c r="B274" s="3" t="s">
        <v>83</v>
      </c>
      <c r="C274" s="56"/>
      <c r="D274" s="56"/>
      <c r="E274" s="51" t="s">
        <v>1168</v>
      </c>
      <c r="F274" s="51" t="s">
        <v>1255</v>
      </c>
      <c r="G274" s="51">
        <v>2</v>
      </c>
      <c r="H274" s="51"/>
      <c r="I274" s="51"/>
      <c r="J274" s="51">
        <v>4</v>
      </c>
      <c r="K274" s="37" t="s">
        <v>1244</v>
      </c>
      <c r="L274" s="50"/>
      <c r="M274" s="4" t="s">
        <v>6</v>
      </c>
      <c r="N274" s="25"/>
      <c r="O274" s="25">
        <v>251.41</v>
      </c>
      <c r="P274" s="25"/>
      <c r="Q274" s="25"/>
      <c r="R274" s="25"/>
      <c r="S274" s="25"/>
      <c r="T274" s="25">
        <v>70.540000000000006</v>
      </c>
      <c r="U274" s="25">
        <v>321.95</v>
      </c>
      <c r="V274" s="30">
        <v>75.282817502668095</v>
      </c>
      <c r="W274" s="30">
        <v>268.31376734258271</v>
      </c>
      <c r="X274" s="31"/>
      <c r="Y274" s="31">
        <v>156.66</v>
      </c>
      <c r="Z274" s="31"/>
      <c r="AA274" s="31"/>
      <c r="AB274" s="31"/>
      <c r="AC274" s="31">
        <v>68.36</v>
      </c>
      <c r="AD274" s="31"/>
      <c r="AE274" s="32">
        <v>167.19316969050161</v>
      </c>
      <c r="AF274" s="1">
        <v>299</v>
      </c>
      <c r="AG274" s="4">
        <v>1995</v>
      </c>
      <c r="AH274" s="4" t="s">
        <v>84</v>
      </c>
      <c r="AI274" s="6">
        <v>937</v>
      </c>
      <c r="AJ274" s="38">
        <v>60</v>
      </c>
      <c r="AK274" s="16" t="s">
        <v>85</v>
      </c>
      <c r="AL274" s="1" t="s">
        <v>26</v>
      </c>
      <c r="AM274" s="37"/>
      <c r="AN274" s="37"/>
      <c r="AO274" s="37"/>
      <c r="AP274" s="37"/>
      <c r="AQ274" s="37"/>
      <c r="AR274" s="37"/>
      <c r="AS274" s="37"/>
      <c r="AT274" s="37"/>
      <c r="AU274" s="37"/>
      <c r="AV274" s="37"/>
      <c r="AW274" s="37"/>
      <c r="AX274" s="37"/>
      <c r="AY274" s="37"/>
      <c r="AZ274" s="37"/>
      <c r="BA274" s="37"/>
      <c r="BB274" s="37"/>
      <c r="BC274" s="37"/>
      <c r="BD274" s="37"/>
      <c r="BE274" s="37"/>
      <c r="BF274" s="37"/>
      <c r="BG274" s="42"/>
      <c r="BH274" s="42">
        <v>14.1</v>
      </c>
      <c r="BI274" s="42"/>
      <c r="BJ274" s="42"/>
      <c r="BK274" s="44">
        <v>14.1</v>
      </c>
      <c r="BL274" s="44">
        <v>70.540000000000006</v>
      </c>
      <c r="BM274" s="44">
        <f>+BK274+BL274</f>
        <v>84.64</v>
      </c>
      <c r="BN274" s="47">
        <v>15.048025613660618</v>
      </c>
      <c r="BO274" s="47">
        <v>75.282817502668095</v>
      </c>
      <c r="BP274" s="45">
        <v>90.330843116328708</v>
      </c>
      <c r="BQ274" s="9">
        <v>937</v>
      </c>
      <c r="BR274" s="4"/>
      <c r="BS274" s="4"/>
      <c r="BT274" s="4"/>
      <c r="BU274" s="4">
        <v>47.22</v>
      </c>
      <c r="BV274" s="4"/>
      <c r="BW274" s="4"/>
      <c r="BX274" s="4"/>
      <c r="BY274" s="9">
        <f>+INT(BK274*faktorji!$B$5)</f>
        <v>1339</v>
      </c>
      <c r="BZ274" s="9">
        <f>+INT(BL274*faktorji!$B$4)</f>
        <v>11639</v>
      </c>
      <c r="CA274" s="3" t="s">
        <v>1313</v>
      </c>
      <c r="CB274" s="4">
        <v>0</v>
      </c>
      <c r="CC274" s="4">
        <v>0</v>
      </c>
      <c r="CD274" s="4">
        <v>0</v>
      </c>
      <c r="CE274" s="4">
        <v>0</v>
      </c>
      <c r="CF274" s="4">
        <v>0</v>
      </c>
      <c r="CG274" s="4">
        <v>1</v>
      </c>
      <c r="CH274" s="4">
        <v>1</v>
      </c>
      <c r="CI274" s="9">
        <f>+BQ274*(CB274*faktorji!$B$21+'MOL_tabela rezultatov'!CF26*faktorji!$B$23+'MOL_tabela rezultatov'!CH26*faktorji!$B$26)+faktorji!$B$27*CG274</f>
        <v>19405.5</v>
      </c>
      <c r="CJ274" s="9">
        <f>+(BZ274*CF274*faktorji!$B$18)+(CG274*faktorji!$B$17*('MOL_tabela rezultatov'!BY26+'MOL_tabela rezultatov'!BZ26))+('MOL_tabela rezultatov'!CH26*faktorji!$B$16*'MOL_tabela rezultatov'!BY26)+('MOL_tabela rezultatov'!CB26*faktorji!$B$12*'MOL_tabela rezultatov'!BY26)</f>
        <v>16484.599999999999</v>
      </c>
      <c r="CK274" s="66">
        <f>+CI274/CJ274</f>
        <v>1.1771896194023515</v>
      </c>
      <c r="CL274" s="3" t="str">
        <f>CONCATENATE(IF(CB274&gt;0,"kotlovnica/toplotna postaja, ",""),IF(CF274&gt;0,"razsvetljava, ",""),IF(CG274&gt;0,"energetsko upravljanje, ",""),IF(CH274&gt;0,"manjši investicijski in organizacijski ukrepi, ",""))</f>
        <v xml:space="preserve">energetsko upravljanje, manjši investicijski in organizacijski ukrepi, </v>
      </c>
      <c r="CM274" s="9">
        <f>+CJ274*0.9</f>
        <v>14836.14</v>
      </c>
      <c r="CN274" s="9">
        <f>+CJ274*0.9</f>
        <v>14836.14</v>
      </c>
      <c r="CO274" s="9">
        <f>+CJ274*0.9</f>
        <v>14836.14</v>
      </c>
      <c r="CP274" s="69">
        <f>+IF(CI274-SUM(CM274:CO274)&lt;0,0,CI274-SUM(CM274:CO274))</f>
        <v>0</v>
      </c>
      <c r="CQ274" s="9">
        <f>+(BQ274*CE274*faktorji!$B$24)+(BQ274^0.5*CC274*4*4*0.66*faktorji!$B$22)+(BQ274^0.5*CD274*4*4*0.33*faktorji!$B$25)</f>
        <v>0</v>
      </c>
      <c r="CR274" s="3" t="str">
        <f t="shared" si="221"/>
        <v/>
      </c>
      <c r="CS274" s="9">
        <f>+BQ274*('MOL_tabela rezultatov'!CH274*faktorji!$B$26)+faktorji!$B$27*CG274</f>
        <v>19405.5</v>
      </c>
      <c r="CT274" s="3" t="str">
        <f t="shared" si="219"/>
        <v xml:space="preserve">energetsko upravljanje, manjši investicijski in organizacijski ukrepi, </v>
      </c>
      <c r="CU274" s="9">
        <f t="shared" si="251"/>
        <v>4851.375</v>
      </c>
      <c r="CV274" s="9">
        <f t="shared" ref="CV274:CX274" si="255">+CU274</f>
        <v>4851.375</v>
      </c>
      <c r="CW274" s="9">
        <f t="shared" si="255"/>
        <v>4851.375</v>
      </c>
      <c r="CX274" s="69">
        <f t="shared" si="255"/>
        <v>4851.375</v>
      </c>
    </row>
    <row r="275" spans="1:102" s="10" customFormat="1" ht="18" hidden="1" customHeight="1">
      <c r="A275" s="53" t="s">
        <v>327</v>
      </c>
      <c r="B275" s="2" t="s">
        <v>328</v>
      </c>
      <c r="C275" s="57"/>
      <c r="D275" s="57"/>
      <c r="E275" s="51" t="s">
        <v>1174</v>
      </c>
      <c r="F275" s="51"/>
      <c r="G275" s="51">
        <v>4</v>
      </c>
      <c r="H275" s="51"/>
      <c r="I275" s="51"/>
      <c r="J275" s="51">
        <v>7</v>
      </c>
      <c r="K275" s="37" t="s">
        <v>1241</v>
      </c>
      <c r="L275" s="50"/>
      <c r="M275" s="4" t="s">
        <v>5</v>
      </c>
      <c r="N275" s="25">
        <v>17.887256393687746</v>
      </c>
      <c r="O275" s="25"/>
      <c r="P275" s="25"/>
      <c r="Q275" s="25"/>
      <c r="R275" s="25"/>
      <c r="S275" s="25"/>
      <c r="T275" s="25">
        <v>2.5</v>
      </c>
      <c r="U275" s="25">
        <v>20.387256393687746</v>
      </c>
      <c r="V275" s="30">
        <v>19.841269841269842</v>
      </c>
      <c r="W275" s="30">
        <v>141.96235233085511</v>
      </c>
      <c r="X275" s="31"/>
      <c r="Y275" s="31"/>
      <c r="Z275" s="31"/>
      <c r="AA275" s="31"/>
      <c r="AB275" s="31"/>
      <c r="AC275" s="31">
        <v>2.44</v>
      </c>
      <c r="AD275" s="31"/>
      <c r="AE275" s="32">
        <v>0</v>
      </c>
      <c r="AF275" s="1"/>
      <c r="AG275" s="4"/>
      <c r="AH275" s="4">
        <v>1983</v>
      </c>
      <c r="AI275" s="6">
        <v>126</v>
      </c>
      <c r="AJ275" s="38">
        <v>100</v>
      </c>
      <c r="AK275" s="3"/>
      <c r="AL275" s="1" t="s">
        <v>329</v>
      </c>
      <c r="AM275" s="37"/>
      <c r="AN275" s="37"/>
      <c r="AO275" s="37"/>
      <c r="AP275" s="37"/>
      <c r="AQ275" s="37"/>
      <c r="AR275" s="37"/>
      <c r="AS275" s="37"/>
      <c r="AT275" s="37"/>
      <c r="AU275" s="37"/>
      <c r="AV275" s="37"/>
      <c r="AW275" s="37"/>
      <c r="AX275" s="37"/>
      <c r="AY275" s="37"/>
      <c r="AZ275" s="37"/>
      <c r="BA275" s="37"/>
      <c r="BB275" s="37"/>
      <c r="BC275" s="37"/>
      <c r="BD275" s="37"/>
      <c r="BE275" s="37"/>
      <c r="BF275" s="37"/>
      <c r="BG275" s="42">
        <v>16.392599999999998</v>
      </c>
      <c r="BH275" s="42"/>
      <c r="BI275" s="42"/>
      <c r="BJ275" s="42"/>
      <c r="BK275" s="44">
        <v>16.392599999999998</v>
      </c>
      <c r="BL275" s="44">
        <v>2.5</v>
      </c>
      <c r="BM275" s="44">
        <f>+BK275+BL275</f>
        <v>18.892599999999998</v>
      </c>
      <c r="BN275" s="47">
        <v>130.1</v>
      </c>
      <c r="BO275" s="47">
        <v>19.841269841269842</v>
      </c>
      <c r="BP275" s="45">
        <v>149.94126984126984</v>
      </c>
      <c r="BQ275" s="6">
        <v>126</v>
      </c>
      <c r="BR275" s="4"/>
      <c r="BS275" s="4"/>
      <c r="BT275" s="4"/>
      <c r="BU275" s="4"/>
      <c r="BV275" s="4"/>
      <c r="BW275" s="4"/>
      <c r="BX275" s="4"/>
      <c r="BY275" s="9">
        <f>+INT(BK275*faktorji!$B$3)</f>
        <v>1065</v>
      </c>
      <c r="BZ275" s="9">
        <f>+INT(BL275*faktorji!$B$4)</f>
        <v>412</v>
      </c>
      <c r="CA275" s="4"/>
      <c r="CB275" s="4">
        <v>0</v>
      </c>
      <c r="CC275" s="4">
        <v>0</v>
      </c>
      <c r="CD275" s="4">
        <v>0</v>
      </c>
      <c r="CE275" s="4">
        <v>0</v>
      </c>
      <c r="CF275" s="4">
        <v>1</v>
      </c>
      <c r="CG275" s="4">
        <v>1</v>
      </c>
      <c r="CH275" s="4">
        <v>1</v>
      </c>
      <c r="CI275" s="9">
        <f>+BQ275*(CB275*faktorji!$B$21+'MOL_tabela rezultatov'!CF131*faktorji!$B$23+'MOL_tabela rezultatov'!CH131*faktorji!$B$26)+faktorji!$B$27*CG275</f>
        <v>18189</v>
      </c>
      <c r="CJ275" s="9">
        <f>+(BZ275*CF275*faktorji!$B$18)+(CG275*faktorji!$B$17*('MOL_tabela rezultatov'!BY131+'MOL_tabela rezultatov'!BZ131))+('MOL_tabela rezultatov'!CH131*faktorji!$B$16*'MOL_tabela rezultatov'!BY131)+('MOL_tabela rezultatov'!CB131*faktorji!$B$12*'MOL_tabela rezultatov'!BY131)</f>
        <v>545.30000000000007</v>
      </c>
      <c r="CK275" s="66">
        <f>+CI275/CJ275</f>
        <v>33.355950852741607</v>
      </c>
      <c r="CL275" s="3" t="str">
        <f>CONCATENATE(IF(CB275&gt;0,"kotlovnica/toplotna postaja, ",""),IF(CF275&gt;0,"razsvetljava, ",""),IF(CG275&gt;0,"energetsko upravljanje, ",""),IF(CH275&gt;0,"manjši investicijski in organizacijski ukrepi, ",""))</f>
        <v xml:space="preserve">razsvetljava, energetsko upravljanje, manjši investicijski in organizacijski ukrepi, </v>
      </c>
      <c r="CM275" s="9">
        <f>+CJ275*0.9</f>
        <v>490.7700000000001</v>
      </c>
      <c r="CN275" s="9">
        <f>+CJ275*0.9</f>
        <v>490.7700000000001</v>
      </c>
      <c r="CO275" s="9">
        <f>+CJ275*0.9</f>
        <v>490.7700000000001</v>
      </c>
      <c r="CP275" s="69">
        <f>+IF(CI275-SUM(CM275:CO275)&lt;0,0,CI275-SUM(CM275:CO275))</f>
        <v>16716.689999999999</v>
      </c>
      <c r="CQ275" s="9">
        <f>+(BQ275*CE275*faktorji!$B$24)+(BQ275^0.5*CC275*4*4*0.66*faktorji!$B$22)+(BQ275^0.5*CD275*4*4*0.33*faktorji!$B$25)</f>
        <v>0</v>
      </c>
      <c r="CR275" s="3" t="str">
        <f t="shared" si="221"/>
        <v/>
      </c>
      <c r="CS275" s="9">
        <f>+BQ275*('MOL_tabela rezultatov'!CH275*faktorji!$B$26)+faktorji!$B$27*CG275</f>
        <v>18189</v>
      </c>
      <c r="CT275" s="3" t="str">
        <f t="shared" si="219"/>
        <v xml:space="preserve">energetsko upravljanje, manjši investicijski in organizacijski ukrepi, </v>
      </c>
      <c r="CU275" s="9">
        <f t="shared" si="251"/>
        <v>4547.25</v>
      </c>
      <c r="CV275" s="9">
        <f t="shared" ref="CV275:CX275" si="256">+CU275</f>
        <v>4547.25</v>
      </c>
      <c r="CW275" s="9">
        <f t="shared" si="256"/>
        <v>4547.25</v>
      </c>
      <c r="CX275" s="69">
        <f t="shared" si="256"/>
        <v>4547.25</v>
      </c>
    </row>
    <row r="276" spans="1:102" s="10" customFormat="1" ht="18" hidden="1" customHeight="1">
      <c r="A276" s="53" t="s">
        <v>429</v>
      </c>
      <c r="B276" s="2" t="s">
        <v>430</v>
      </c>
      <c r="C276" s="57"/>
      <c r="D276" s="57"/>
      <c r="E276" s="51" t="s">
        <v>1175</v>
      </c>
      <c r="F276" s="51"/>
      <c r="G276" s="51">
        <v>3</v>
      </c>
      <c r="H276" s="51"/>
      <c r="I276" s="51"/>
      <c r="J276" s="51">
        <v>7</v>
      </c>
      <c r="K276" s="37" t="s">
        <v>1243</v>
      </c>
      <c r="L276" s="50"/>
      <c r="M276" s="4" t="s">
        <v>5</v>
      </c>
      <c r="N276" s="25">
        <v>1308</v>
      </c>
      <c r="O276" s="25"/>
      <c r="P276" s="25"/>
      <c r="Q276" s="25"/>
      <c r="R276" s="25"/>
      <c r="S276" s="25"/>
      <c r="T276" s="25">
        <v>68.257000000000005</v>
      </c>
      <c r="U276" s="25">
        <v>1376.2570000000001</v>
      </c>
      <c r="V276" s="30">
        <v>11.568983050847457</v>
      </c>
      <c r="W276" s="30">
        <v>221.69491525423729</v>
      </c>
      <c r="X276" s="31"/>
      <c r="Y276" s="31"/>
      <c r="Z276" s="31"/>
      <c r="AA276" s="31"/>
      <c r="AB276" s="31"/>
      <c r="AC276" s="31"/>
      <c r="AD276" s="31"/>
      <c r="AE276" s="32"/>
      <c r="AF276" s="16" t="s">
        <v>431</v>
      </c>
      <c r="AG276" s="3">
        <v>2000</v>
      </c>
      <c r="AH276" s="4"/>
      <c r="AI276" s="6">
        <v>5900</v>
      </c>
      <c r="AJ276" s="38">
        <v>100</v>
      </c>
      <c r="AK276" s="3"/>
      <c r="AL276" s="1" t="s">
        <v>432</v>
      </c>
      <c r="AM276" s="37">
        <v>820.47</v>
      </c>
      <c r="AN276" s="37">
        <v>872.1</v>
      </c>
      <c r="AO276" s="37">
        <v>792.74</v>
      </c>
      <c r="AP276" s="37">
        <v>836.6</v>
      </c>
      <c r="AQ276" s="37"/>
      <c r="AR276" s="37"/>
      <c r="AS276" s="37"/>
      <c r="AT276" s="37"/>
      <c r="AU276" s="37"/>
      <c r="AV276" s="37"/>
      <c r="AW276" s="37"/>
      <c r="AX276" s="37"/>
      <c r="AY276" s="37"/>
      <c r="AZ276" s="37"/>
      <c r="BA276" s="37"/>
      <c r="BB276" s="37"/>
      <c r="BC276" s="37">
        <v>149.19</v>
      </c>
      <c r="BD276" s="37">
        <v>156.34</v>
      </c>
      <c r="BE276" s="37">
        <v>146.29</v>
      </c>
      <c r="BF276" s="37">
        <v>134.47</v>
      </c>
      <c r="BG276" s="42">
        <v>830.47750000000008</v>
      </c>
      <c r="BH276" s="42">
        <v>6.84</v>
      </c>
      <c r="BI276" s="42"/>
      <c r="BJ276" s="42"/>
      <c r="BK276" s="44">
        <v>837.31750000000011</v>
      </c>
      <c r="BL276" s="44">
        <v>146.57249999999999</v>
      </c>
      <c r="BM276" s="44">
        <f>+BK276+BL276</f>
        <v>983.8900000000001</v>
      </c>
      <c r="BN276" s="47">
        <v>141.91822033898308</v>
      </c>
      <c r="BO276" s="47">
        <v>24.84279661016949</v>
      </c>
      <c r="BP276" s="45">
        <v>165.60169491525426</v>
      </c>
      <c r="BQ276" s="9">
        <v>5900</v>
      </c>
      <c r="BR276" s="4">
        <v>1106</v>
      </c>
      <c r="BS276" s="4">
        <v>2000</v>
      </c>
      <c r="BT276" s="4" t="s">
        <v>872</v>
      </c>
      <c r="BU276" s="4" t="s">
        <v>119</v>
      </c>
      <c r="BV276" s="4"/>
      <c r="BW276" s="4"/>
      <c r="BX276" s="4"/>
      <c r="BY276" s="9">
        <f>+INT(BK276*faktorji!$B$3)</f>
        <v>54425</v>
      </c>
      <c r="BZ276" s="9">
        <f>+INT(BL276*faktorji!$B$4)</f>
        <v>24184</v>
      </c>
      <c r="CA276" s="4"/>
      <c r="CB276" s="4">
        <v>0</v>
      </c>
      <c r="CC276" s="4">
        <v>0</v>
      </c>
      <c r="CD276" s="4">
        <v>0</v>
      </c>
      <c r="CE276" s="4">
        <v>0</v>
      </c>
      <c r="CF276" s="4">
        <v>0</v>
      </c>
      <c r="CG276" s="4">
        <v>1</v>
      </c>
      <c r="CH276" s="4">
        <v>1</v>
      </c>
      <c r="CI276" s="9" t="e">
        <f>+BQ276*(CB276*faktorji!$B$21+'MOL_tabela rezultatov'!#REF!*faktorji!$B$23+'MOL_tabela rezultatov'!#REF!*faktorji!$B$26)+faktorji!$B$27*CG276</f>
        <v>#REF!</v>
      </c>
      <c r="CJ276" s="9" t="e">
        <f>+(BZ276*CF276*faktorji!$B$18)+(CG276*faktorji!$B$17*('MOL_tabela rezultatov'!#REF!+'MOL_tabela rezultatov'!#REF!))+('MOL_tabela rezultatov'!#REF!*faktorji!$B$16*'MOL_tabela rezultatov'!#REF!)+('MOL_tabela rezultatov'!#REF!*faktorji!$B$12*'MOL_tabela rezultatov'!#REF!)</f>
        <v>#REF!</v>
      </c>
      <c r="CK276" s="66" t="e">
        <f>+CI276/CJ276</f>
        <v>#REF!</v>
      </c>
      <c r="CL276" s="3" t="str">
        <f>CONCATENATE(IF(CB276&gt;0,"kotlovnica/toplotna postaja, ",""),IF(CF276&gt;0,"razsvetljava, ",""),IF(CG276&gt;0,"energetsko upravljanje, ",""),IF(CH276&gt;0,"manjši investicijski in organizacijski ukrepi, ",""))</f>
        <v xml:space="preserve">energetsko upravljanje, manjši investicijski in organizacijski ukrepi, </v>
      </c>
      <c r="CM276" s="9" t="e">
        <f>+CJ276*0.9</f>
        <v>#REF!</v>
      </c>
      <c r="CN276" s="9" t="e">
        <f>+CJ276*0.9</f>
        <v>#REF!</v>
      </c>
      <c r="CO276" s="9" t="e">
        <f>+CJ276*0.9</f>
        <v>#REF!</v>
      </c>
      <c r="CP276" s="69" t="e">
        <f>+IF(CI276-SUM(CM276:CO276)&lt;0,0,CI276-SUM(CM276:CO276))</f>
        <v>#REF!</v>
      </c>
      <c r="CQ276" s="9">
        <f>+(BQ276*CE276*faktorji!$B$24)+(BQ276^0.5*CC276*4*4*0.66*faktorji!$B$22)+(BQ276^0.5*CD276*4*4*0.33*faktorji!$B$25)</f>
        <v>0</v>
      </c>
      <c r="CR276" s="3" t="str">
        <f t="shared" si="221"/>
        <v/>
      </c>
      <c r="CS276" s="9">
        <f>+BQ276*('MOL_tabela rezultatov'!CH276*faktorji!$B$26)+faktorji!$B$27*CG276</f>
        <v>26850</v>
      </c>
      <c r="CT276" s="3" t="str">
        <f t="shared" si="219"/>
        <v xml:space="preserve">energetsko upravljanje, manjši investicijski in organizacijski ukrepi, </v>
      </c>
      <c r="CU276" s="9">
        <f t="shared" si="251"/>
        <v>6712.5</v>
      </c>
      <c r="CV276" s="9">
        <f t="shared" ref="CV276:CX276" si="257">+CU276</f>
        <v>6712.5</v>
      </c>
      <c r="CW276" s="9">
        <f t="shared" si="257"/>
        <v>6712.5</v>
      </c>
      <c r="CX276" s="69">
        <f t="shared" si="257"/>
        <v>6712.5</v>
      </c>
    </row>
    <row r="277" spans="1:102" s="10" customFormat="1" ht="18" hidden="1" customHeight="1">
      <c r="A277" s="54" t="s">
        <v>222</v>
      </c>
      <c r="B277" s="3" t="s">
        <v>223</v>
      </c>
      <c r="C277" s="56"/>
      <c r="D277" s="56"/>
      <c r="E277" s="51" t="s">
        <v>1172</v>
      </c>
      <c r="F277" s="51"/>
      <c r="G277" s="51">
        <v>4</v>
      </c>
      <c r="H277" s="51"/>
      <c r="I277" s="51"/>
      <c r="J277" s="51">
        <v>7</v>
      </c>
      <c r="K277" s="37" t="s">
        <v>1243</v>
      </c>
      <c r="L277" s="50"/>
      <c r="M277" s="1" t="s">
        <v>1186</v>
      </c>
      <c r="N277" s="25"/>
      <c r="O277" s="25"/>
      <c r="P277" s="25"/>
      <c r="Q277" s="25">
        <v>48.9</v>
      </c>
      <c r="R277" s="25"/>
      <c r="S277" s="25"/>
      <c r="T277" s="25">
        <v>73.3</v>
      </c>
      <c r="U277" s="25">
        <v>73.3</v>
      </c>
      <c r="V277" s="30">
        <v>165.53748870822042</v>
      </c>
      <c r="W277" s="30">
        <v>110.43360433604336</v>
      </c>
      <c r="X277" s="31"/>
      <c r="Y277" s="31"/>
      <c r="Z277" s="31"/>
      <c r="AA277" s="31"/>
      <c r="AB277" s="31"/>
      <c r="AC277" s="31"/>
      <c r="AD277" s="31"/>
      <c r="AE277" s="32"/>
      <c r="AF277" s="1"/>
      <c r="AG277" s="4"/>
      <c r="AH277" s="4" t="s">
        <v>224</v>
      </c>
      <c r="AI277" s="6">
        <v>442.8</v>
      </c>
      <c r="AJ277" s="38"/>
      <c r="AK277" s="3" t="s">
        <v>211</v>
      </c>
      <c r="AL277" s="1" t="s">
        <v>225</v>
      </c>
      <c r="AM277" s="37"/>
      <c r="AN277" s="37"/>
      <c r="AO277" s="37"/>
      <c r="AP277" s="37"/>
      <c r="AQ277" s="37"/>
      <c r="AR277" s="37"/>
      <c r="AS277" s="37"/>
      <c r="AT277" s="37"/>
      <c r="AU277" s="37"/>
      <c r="AV277" s="37"/>
      <c r="AW277" s="37"/>
      <c r="AX277" s="37"/>
      <c r="AY277" s="37"/>
      <c r="AZ277" s="37"/>
      <c r="BA277" s="37"/>
      <c r="BB277" s="37"/>
      <c r="BC277" s="37">
        <v>47.88</v>
      </c>
      <c r="BD277" s="37">
        <v>56.800000000000004</v>
      </c>
      <c r="BE277" s="37">
        <v>52.68</v>
      </c>
      <c r="BF277" s="37">
        <v>48.64</v>
      </c>
      <c r="BG277" s="42"/>
      <c r="BH277" s="42"/>
      <c r="BI277" s="42"/>
      <c r="BJ277" s="42"/>
      <c r="BK277" s="44"/>
      <c r="BL277" s="44">
        <v>51.5</v>
      </c>
      <c r="BM277" s="44">
        <f>+BK277+BL277</f>
        <v>51.5</v>
      </c>
      <c r="BN277" s="47">
        <v>0</v>
      </c>
      <c r="BO277" s="47">
        <v>90.66901408450704</v>
      </c>
      <c r="BP277" s="45">
        <v>90.66901408450704</v>
      </c>
      <c r="BQ277" s="9">
        <v>568</v>
      </c>
      <c r="BR277" s="4"/>
      <c r="BS277" s="4"/>
      <c r="BT277" s="4" t="s">
        <v>1143</v>
      </c>
      <c r="BU277" s="4" t="s">
        <v>919</v>
      </c>
      <c r="BV277" s="4"/>
      <c r="BW277" s="4"/>
      <c r="BX277" s="4" t="s">
        <v>1121</v>
      </c>
      <c r="BY277" s="9">
        <f>+INT(BK277*faktorji!$B$4)</f>
        <v>0</v>
      </c>
      <c r="BZ277" s="9">
        <f>+INT(BL277*faktorji!$B$4)</f>
        <v>8497</v>
      </c>
      <c r="CA277" s="4"/>
      <c r="CB277" s="4">
        <v>0</v>
      </c>
      <c r="CC277" s="4">
        <v>0</v>
      </c>
      <c r="CD277" s="4">
        <v>0</v>
      </c>
      <c r="CE277" s="4">
        <v>0</v>
      </c>
      <c r="CF277" s="4">
        <v>1</v>
      </c>
      <c r="CG277" s="4">
        <v>1</v>
      </c>
      <c r="CH277" s="4">
        <v>1</v>
      </c>
      <c r="CI277" s="9">
        <f>+BQ277*(CB277*faktorji!$B$21+'MOL_tabela rezultatov'!CF78*faktorji!$B$23+'MOL_tabela rezultatov'!CH78*faktorji!$B$26)+faktorji!$B$27*CG277</f>
        <v>27372</v>
      </c>
      <c r="CJ277" s="9">
        <f>+(BZ277*CF277*faktorji!$B$18)+(CG277*faktorji!$B$17*('MOL_tabela rezultatov'!BY78+'MOL_tabela rezultatov'!BZ78))+('MOL_tabela rezultatov'!CH78*faktorji!$B$16*'MOL_tabela rezultatov'!BY78)+('MOL_tabela rezultatov'!CB78*faktorji!$B$12*'MOL_tabela rezultatov'!BY78)</f>
        <v>5872.65</v>
      </c>
      <c r="CK277" s="66">
        <f>+CI277/CJ277</f>
        <v>4.6609282010676614</v>
      </c>
      <c r="CL277" s="3" t="str">
        <f>CONCATENATE(IF(CB277&gt;0,"kotlovnica/toplotna postaja, ",""),IF(CF277&gt;0,"razsvetljava, ",""),IF(CG277&gt;0,"energetsko upravljanje, ",""),IF(CH277&gt;0,"manjši investicijski in organizacijski ukrepi, ",""))</f>
        <v xml:space="preserve">razsvetljava, energetsko upravljanje, manjši investicijski in organizacijski ukrepi, </v>
      </c>
      <c r="CM277" s="9">
        <f>+CJ277*0.9</f>
        <v>5285.3850000000002</v>
      </c>
      <c r="CN277" s="9">
        <f>+CJ277*0.9</f>
        <v>5285.3850000000002</v>
      </c>
      <c r="CO277" s="9">
        <f>+CJ277*0.9</f>
        <v>5285.3850000000002</v>
      </c>
      <c r="CP277" s="69">
        <f>+IF(CI277-SUM(CM277:CO277)&lt;0,0,CI277-SUM(CM277:CO277))</f>
        <v>11515.844999999999</v>
      </c>
      <c r="CQ277" s="9">
        <f>+(BQ277*CE277*faktorji!$B$24)+(BQ277^0.5*CC277*4*4*0.66*faktorji!$B$22)+(BQ277^0.5*CD277*4*4*0.33*faktorji!$B$25)</f>
        <v>0</v>
      </c>
      <c r="CR277" s="3" t="str">
        <f t="shared" si="221"/>
        <v/>
      </c>
      <c r="CS277" s="9">
        <f>+BQ277*('MOL_tabela rezultatov'!CH277*faktorji!$B$26)+faktorji!$B$27*CG277</f>
        <v>18852</v>
      </c>
      <c r="CT277" s="3" t="str">
        <f t="shared" si="219"/>
        <v xml:space="preserve">energetsko upravljanje, manjši investicijski in organizacijski ukrepi, </v>
      </c>
      <c r="CU277" s="9">
        <f t="shared" si="251"/>
        <v>4713</v>
      </c>
      <c r="CV277" s="9">
        <f t="shared" ref="CV277:CX277" si="258">+CU277</f>
        <v>4713</v>
      </c>
      <c r="CW277" s="9">
        <f t="shared" si="258"/>
        <v>4713</v>
      </c>
      <c r="CX277" s="69">
        <f t="shared" si="258"/>
        <v>4713</v>
      </c>
    </row>
    <row r="278" spans="1:102" s="10" customFormat="1" ht="18" hidden="1" customHeight="1">
      <c r="A278" s="54" t="s">
        <v>226</v>
      </c>
      <c r="B278" s="3" t="s">
        <v>227</v>
      </c>
      <c r="C278" s="56"/>
      <c r="D278" s="56"/>
      <c r="E278" s="51" t="s">
        <v>1172</v>
      </c>
      <c r="F278" s="51"/>
      <c r="G278" s="51">
        <v>4</v>
      </c>
      <c r="H278" s="51"/>
      <c r="I278" s="51"/>
      <c r="J278" s="51">
        <v>7</v>
      </c>
      <c r="K278" s="37" t="s">
        <v>1243</v>
      </c>
      <c r="L278" s="50"/>
      <c r="M278" s="1" t="s">
        <v>1186</v>
      </c>
      <c r="N278" s="25"/>
      <c r="O278" s="25"/>
      <c r="P278" s="25"/>
      <c r="Q278" s="25">
        <v>16.3</v>
      </c>
      <c r="R278" s="25"/>
      <c r="S278" s="25"/>
      <c r="T278" s="25">
        <v>7.62</v>
      </c>
      <c r="U278" s="25">
        <v>7.62</v>
      </c>
      <c r="V278" s="30">
        <v>63.5</v>
      </c>
      <c r="W278" s="30">
        <v>135.83333333333334</v>
      </c>
      <c r="X278" s="31"/>
      <c r="Y278" s="31"/>
      <c r="Z278" s="31"/>
      <c r="AA278" s="31"/>
      <c r="AB278" s="31"/>
      <c r="AC278" s="31"/>
      <c r="AD278" s="31"/>
      <c r="AE278" s="32"/>
      <c r="AF278" s="1"/>
      <c r="AG278" s="4"/>
      <c r="AH278" s="4">
        <v>2001</v>
      </c>
      <c r="AI278" s="6">
        <v>120</v>
      </c>
      <c r="AJ278" s="38"/>
      <c r="AK278" s="3" t="s">
        <v>211</v>
      </c>
      <c r="AL278" s="1" t="s">
        <v>127</v>
      </c>
      <c r="AM278" s="37"/>
      <c r="AN278" s="37"/>
      <c r="AO278" s="37"/>
      <c r="AP278" s="37"/>
      <c r="AQ278" s="37"/>
      <c r="AR278" s="37"/>
      <c r="AS278" s="37"/>
      <c r="AT278" s="37"/>
      <c r="AU278" s="37"/>
      <c r="AV278" s="37"/>
      <c r="AW278" s="37"/>
      <c r="AX278" s="37"/>
      <c r="AY278" s="37"/>
      <c r="AZ278" s="37"/>
      <c r="BA278" s="37"/>
      <c r="BB278" s="37"/>
      <c r="BC278" s="37">
        <v>21.33</v>
      </c>
      <c r="BD278" s="37">
        <v>25.47</v>
      </c>
      <c r="BE278" s="37">
        <v>16.45</v>
      </c>
      <c r="BF278" s="37">
        <v>22.59</v>
      </c>
      <c r="BG278" s="42"/>
      <c r="BH278" s="42"/>
      <c r="BI278" s="42"/>
      <c r="BJ278" s="42"/>
      <c r="BK278" s="44"/>
      <c r="BL278" s="44">
        <v>21.46</v>
      </c>
      <c r="BM278" s="44">
        <f>+BK278+BL278</f>
        <v>21.46</v>
      </c>
      <c r="BN278" s="47">
        <v>0</v>
      </c>
      <c r="BO278" s="47">
        <v>110.05128205128206</v>
      </c>
      <c r="BP278" s="45">
        <v>110.05128205128206</v>
      </c>
      <c r="BQ278" s="9">
        <v>195</v>
      </c>
      <c r="BR278" s="4"/>
      <c r="BS278" s="4"/>
      <c r="BT278" s="4" t="s">
        <v>1125</v>
      </c>
      <c r="BU278" s="4"/>
      <c r="BV278" s="4"/>
      <c r="BW278" s="4"/>
      <c r="BX278" s="4" t="s">
        <v>1121</v>
      </c>
      <c r="BY278" s="9">
        <f>+INT(BK278*faktorji!$B$4)</f>
        <v>0</v>
      </c>
      <c r="BZ278" s="9">
        <f>+INT(BL278*faktorji!$B$4)</f>
        <v>3540</v>
      </c>
      <c r="CA278" s="4"/>
      <c r="CB278" s="4">
        <v>0</v>
      </c>
      <c r="CC278" s="4">
        <v>0</v>
      </c>
      <c r="CD278" s="4">
        <v>0</v>
      </c>
      <c r="CE278" s="4">
        <v>0</v>
      </c>
      <c r="CF278" s="4">
        <v>1</v>
      </c>
      <c r="CG278" s="4">
        <v>1</v>
      </c>
      <c r="CH278" s="4">
        <v>1</v>
      </c>
      <c r="CI278" s="9">
        <f>+BQ278*(CB278*faktorji!$B$21+'MOL_tabela rezultatov'!CF79*faktorji!$B$23+'MOL_tabela rezultatov'!CH79*faktorji!$B$26)+faktorji!$B$27*CG278</f>
        <v>18292.5</v>
      </c>
      <c r="CJ278" s="9">
        <f>+(BZ278*CF278*faktorji!$B$18)+(CG278*faktorji!$B$17*('MOL_tabela rezultatov'!BY79+'MOL_tabela rezultatov'!BZ79))+('MOL_tabela rezultatov'!CH79*faktorji!$B$16*'MOL_tabela rezultatov'!BY79)+('MOL_tabela rezultatov'!CB79*faktorji!$B$12*'MOL_tabela rezultatov'!BY79)</f>
        <v>7970.9000000000005</v>
      </c>
      <c r="CK278" s="66">
        <f>+CI278/CJ278</f>
        <v>2.2949102359833895</v>
      </c>
      <c r="CL278" s="3" t="str">
        <f>CONCATENATE(IF(CB278&gt;0,"kotlovnica/toplotna postaja, ",""),IF(CF278&gt;0,"razsvetljava, ",""),IF(CG278&gt;0,"energetsko upravljanje, ",""),IF(CH278&gt;0,"manjši investicijski in organizacijski ukrepi, ",""))</f>
        <v xml:space="preserve">razsvetljava, energetsko upravljanje, manjši investicijski in organizacijski ukrepi, </v>
      </c>
      <c r="CM278" s="9">
        <f>+CJ278*0.9</f>
        <v>7173.81</v>
      </c>
      <c r="CN278" s="9">
        <f>+CJ278*0.9</f>
        <v>7173.81</v>
      </c>
      <c r="CO278" s="9">
        <f>+CJ278*0.9</f>
        <v>7173.81</v>
      </c>
      <c r="CP278" s="69">
        <f>+IF(CI278-SUM(CM278:CO278)&lt;0,0,CI278-SUM(CM278:CO278))</f>
        <v>0</v>
      </c>
      <c r="CQ278" s="9">
        <f>+(BQ278*CE278*faktorji!$B$24)+(BQ278^0.5*CC278*4*4*0.66*faktorji!$B$22)+(BQ278^0.5*CD278*4*4*0.33*faktorji!$B$25)</f>
        <v>0</v>
      </c>
      <c r="CR278" s="3" t="str">
        <f t="shared" si="221"/>
        <v/>
      </c>
      <c r="CS278" s="9">
        <f>+BQ278*('MOL_tabela rezultatov'!CH278*faktorji!$B$26)+faktorji!$B$27*CG278</f>
        <v>18292.5</v>
      </c>
      <c r="CT278" s="3" t="str">
        <f t="shared" si="219"/>
        <v xml:space="preserve">energetsko upravljanje, manjši investicijski in organizacijski ukrepi, </v>
      </c>
      <c r="CU278" s="9">
        <f t="shared" si="251"/>
        <v>4573.125</v>
      </c>
      <c r="CV278" s="9">
        <f t="shared" ref="CV278:CX278" si="259">+CU278</f>
        <v>4573.125</v>
      </c>
      <c r="CW278" s="9">
        <f t="shared" si="259"/>
        <v>4573.125</v>
      </c>
      <c r="CX278" s="69">
        <f t="shared" si="259"/>
        <v>4573.125</v>
      </c>
    </row>
    <row r="279" spans="1:102" s="10" customFormat="1" ht="18" hidden="1" customHeight="1">
      <c r="A279" s="54" t="s">
        <v>1447</v>
      </c>
      <c r="B279" s="3" t="s">
        <v>163</v>
      </c>
      <c r="C279" s="56"/>
      <c r="D279" s="56"/>
      <c r="E279" s="51" t="s">
        <v>1169</v>
      </c>
      <c r="F279" s="51"/>
      <c r="G279" s="51">
        <v>4</v>
      </c>
      <c r="H279" s="51"/>
      <c r="I279" s="51"/>
      <c r="J279" s="51">
        <v>6</v>
      </c>
      <c r="K279" s="37" t="s">
        <v>1242</v>
      </c>
      <c r="L279" s="50"/>
      <c r="M279" s="4" t="s">
        <v>5</v>
      </c>
      <c r="N279" s="25">
        <v>232.47192982456141</v>
      </c>
      <c r="O279" s="25"/>
      <c r="P279" s="25"/>
      <c r="Q279" s="25"/>
      <c r="R279" s="25"/>
      <c r="S279" s="25"/>
      <c r="T279" s="25">
        <v>91.671929824561403</v>
      </c>
      <c r="U279" s="25">
        <v>324.14385964912282</v>
      </c>
      <c r="V279" s="30">
        <v>45.835964912280701</v>
      </c>
      <c r="W279" s="30">
        <v>116.23596491228071</v>
      </c>
      <c r="X279" s="31"/>
      <c r="Y279" s="31"/>
      <c r="Z279" s="31"/>
      <c r="AA279" s="31"/>
      <c r="AB279" s="31"/>
      <c r="AC279" s="31"/>
      <c r="AD279" s="31"/>
      <c r="AE279" s="32">
        <v>0</v>
      </c>
      <c r="AF279" s="1" t="s">
        <v>1236</v>
      </c>
      <c r="AG279" s="4"/>
      <c r="AH279" s="4" t="s">
        <v>164</v>
      </c>
      <c r="AI279" s="6">
        <v>2000</v>
      </c>
      <c r="AJ279" s="38">
        <v>100</v>
      </c>
      <c r="AK279" s="3"/>
      <c r="AL279" s="1"/>
      <c r="AM279" s="37"/>
      <c r="AN279" s="37"/>
      <c r="AO279" s="37"/>
      <c r="AP279" s="37"/>
      <c r="AQ279" s="37"/>
      <c r="AR279" s="37"/>
      <c r="AS279" s="37"/>
      <c r="AT279" s="37"/>
      <c r="AU279" s="37"/>
      <c r="AV279" s="37"/>
      <c r="AW279" s="37"/>
      <c r="AX279" s="37"/>
      <c r="AY279" s="37"/>
      <c r="AZ279" s="37"/>
      <c r="BA279" s="37"/>
      <c r="BB279" s="37"/>
      <c r="BC279" s="37"/>
      <c r="BD279" s="37"/>
      <c r="BE279" s="37"/>
      <c r="BF279" s="37"/>
      <c r="BG279" s="42">
        <v>204.5</v>
      </c>
      <c r="BH279" s="42"/>
      <c r="BI279" s="42"/>
      <c r="BJ279" s="42"/>
      <c r="BK279" s="44">
        <v>204.5</v>
      </c>
      <c r="BL279" s="44">
        <v>121.43</v>
      </c>
      <c r="BM279" s="44">
        <f>+BK279+BL279</f>
        <v>325.93</v>
      </c>
      <c r="BN279" s="47">
        <v>76.362957430918598</v>
      </c>
      <c r="BO279" s="47">
        <v>45.343539955190444</v>
      </c>
      <c r="BP279" s="45">
        <v>121.70649738610904</v>
      </c>
      <c r="BQ279" s="9">
        <v>2678</v>
      </c>
      <c r="BR279" s="4">
        <v>733</v>
      </c>
      <c r="BS279" s="4">
        <v>2007</v>
      </c>
      <c r="BT279" s="4" t="s">
        <v>872</v>
      </c>
      <c r="BU279" s="4" t="s">
        <v>119</v>
      </c>
      <c r="BV279" s="4"/>
      <c r="BW279" s="4"/>
      <c r="BX279" s="4" t="s">
        <v>1110</v>
      </c>
      <c r="BY279" s="9">
        <f>+INT(BK279*faktorji!$B$3)</f>
        <v>13292</v>
      </c>
      <c r="BZ279" s="9">
        <f>+INT(BL279*faktorji!$B$4)</f>
        <v>20035</v>
      </c>
      <c r="CA279" s="4"/>
      <c r="CB279" s="4">
        <v>0</v>
      </c>
      <c r="CC279" s="4">
        <v>0</v>
      </c>
      <c r="CD279" s="4">
        <v>0</v>
      </c>
      <c r="CE279" s="4">
        <v>0</v>
      </c>
      <c r="CF279" s="4">
        <v>1</v>
      </c>
      <c r="CG279" s="4">
        <v>1</v>
      </c>
      <c r="CH279" s="4">
        <v>1</v>
      </c>
      <c r="CI279" s="9">
        <f>+BQ279*(CB279*faktorji!$B$21+'MOL_tabela rezultatov'!CF57*faktorji!$B$23+'MOL_tabela rezultatov'!CH57*faktorji!$B$26)+faktorji!$B$27*CG279</f>
        <v>62187</v>
      </c>
      <c r="CJ279" s="9">
        <f>+(BZ279*CF279*faktorji!$B$18)+(CG279*faktorji!$B$17*('MOL_tabela rezultatov'!BY57+'MOL_tabela rezultatov'!BZ57))+('MOL_tabela rezultatov'!CH57*faktorji!$B$16*'MOL_tabela rezultatov'!BY57)+('MOL_tabela rezultatov'!CB57*faktorji!$B$12*'MOL_tabela rezultatov'!BY57)</f>
        <v>10023.550000000001</v>
      </c>
      <c r="CK279" s="66">
        <f>+CI279/CJ279</f>
        <v>6.2040893695347448</v>
      </c>
      <c r="CL279" s="3" t="str">
        <f>CONCATENATE(IF(CB279&gt;0,"kotlovnica/toplotna postaja, ",""),IF(CF279&gt;0,"razsvetljava, ",""),IF(CG279&gt;0,"energetsko upravljanje, ",""),IF(CH279&gt;0,"manjši investicijski in organizacijski ukrepi, ",""))</f>
        <v xml:space="preserve">razsvetljava, energetsko upravljanje, manjši investicijski in organizacijski ukrepi, </v>
      </c>
      <c r="CM279" s="9">
        <f>+CJ279*0.9</f>
        <v>9021.1950000000015</v>
      </c>
      <c r="CN279" s="9">
        <f>+CJ279*0.9</f>
        <v>9021.1950000000015</v>
      </c>
      <c r="CO279" s="9">
        <f>+CJ279*0.9</f>
        <v>9021.1950000000015</v>
      </c>
      <c r="CP279" s="69">
        <f>+IF(CI279-SUM(CM279:CO279)&lt;0,0,CI279-SUM(CM279:CO279))</f>
        <v>35123.414999999994</v>
      </c>
      <c r="CQ279" s="9">
        <f>+(BQ279*CE279*faktorji!$B$24)+(BQ279^0.5*CC279*4*4*0.66*faktorji!$B$22)+(BQ279^0.5*CD279*4*4*0.33*faktorji!$B$25)</f>
        <v>0</v>
      </c>
      <c r="CR279" s="3" t="str">
        <f t="shared" si="221"/>
        <v/>
      </c>
      <c r="CS279" s="9">
        <f>+BQ279*('MOL_tabela rezultatov'!CH279*faktorji!$B$26)+faktorji!$B$27*CG279</f>
        <v>22017</v>
      </c>
      <c r="CT279" s="3" t="str">
        <f t="shared" si="219"/>
        <v xml:space="preserve">energetsko upravljanje, manjši investicijski in organizacijski ukrepi, </v>
      </c>
      <c r="CU279" s="9">
        <f t="shared" si="251"/>
        <v>5504.25</v>
      </c>
      <c r="CV279" s="9">
        <f t="shared" ref="CV279:CX279" si="260">+CU279</f>
        <v>5504.25</v>
      </c>
      <c r="CW279" s="9">
        <f t="shared" si="260"/>
        <v>5504.25</v>
      </c>
      <c r="CX279" s="69">
        <f t="shared" si="260"/>
        <v>5504.25</v>
      </c>
    </row>
    <row r="280" spans="1:102" s="10" customFormat="1" ht="18" hidden="1" customHeight="1">
      <c r="A280" s="54" t="s">
        <v>71</v>
      </c>
      <c r="B280" s="3" t="s">
        <v>72</v>
      </c>
      <c r="C280" s="56"/>
      <c r="D280" s="56"/>
      <c r="E280" s="51" t="s">
        <v>1168</v>
      </c>
      <c r="F280" s="51" t="s">
        <v>1255</v>
      </c>
      <c r="G280" s="51">
        <v>2</v>
      </c>
      <c r="H280" s="51"/>
      <c r="I280" s="51"/>
      <c r="J280" s="51">
        <v>7</v>
      </c>
      <c r="K280" s="37" t="s">
        <v>1241</v>
      </c>
      <c r="L280" s="50"/>
      <c r="M280" s="4" t="s">
        <v>5</v>
      </c>
      <c r="N280" s="25">
        <v>21.469457965995378</v>
      </c>
      <c r="O280" s="25"/>
      <c r="P280" s="25"/>
      <c r="Q280" s="25"/>
      <c r="R280" s="25"/>
      <c r="S280" s="25"/>
      <c r="T280" s="25">
        <v>6.0179999999999998</v>
      </c>
      <c r="U280" s="25">
        <v>27.487457965995379</v>
      </c>
      <c r="V280" s="30">
        <v>47.255594817432275</v>
      </c>
      <c r="W280" s="30">
        <v>168.58624237138108</v>
      </c>
      <c r="X280" s="31"/>
      <c r="Y280" s="31"/>
      <c r="Z280" s="31"/>
      <c r="AA280" s="31"/>
      <c r="AB280" s="31"/>
      <c r="AC280" s="31"/>
      <c r="AD280" s="31"/>
      <c r="AE280" s="32">
        <v>0</v>
      </c>
      <c r="AF280" s="1"/>
      <c r="AG280" s="4"/>
      <c r="AH280" s="4">
        <v>2008</v>
      </c>
      <c r="AI280" s="6">
        <v>127.35</v>
      </c>
      <c r="AJ280" s="38">
        <v>100</v>
      </c>
      <c r="AK280" s="3" t="s">
        <v>70</v>
      </c>
      <c r="AL280" s="1" t="s">
        <v>18</v>
      </c>
      <c r="AM280" s="37"/>
      <c r="AN280" s="37"/>
      <c r="AO280" s="37"/>
      <c r="AP280" s="37"/>
      <c r="AQ280" s="37"/>
      <c r="AR280" s="37"/>
      <c r="AS280" s="37"/>
      <c r="AT280" s="37"/>
      <c r="AU280" s="37"/>
      <c r="AV280" s="37"/>
      <c r="AW280" s="37"/>
      <c r="AX280" s="37"/>
      <c r="AY280" s="37"/>
      <c r="AZ280" s="37"/>
      <c r="BA280" s="37"/>
      <c r="BB280" s="37"/>
      <c r="BC280" s="37"/>
      <c r="BD280" s="37"/>
      <c r="BE280" s="37"/>
      <c r="BF280" s="37"/>
      <c r="BG280" s="42">
        <v>13.269869999999999</v>
      </c>
      <c r="BH280" s="42"/>
      <c r="BI280" s="42"/>
      <c r="BJ280" s="42"/>
      <c r="BK280" s="44">
        <v>13.269869999999999</v>
      </c>
      <c r="BL280" s="44">
        <v>6.02</v>
      </c>
      <c r="BM280" s="44">
        <f>+BK280+BL280</f>
        <v>19.289870000000001</v>
      </c>
      <c r="BN280" s="47">
        <v>104.2</v>
      </c>
      <c r="BO280" s="47">
        <v>47.27129956811936</v>
      </c>
      <c r="BP280" s="45">
        <v>151.47129956811935</v>
      </c>
      <c r="BQ280" s="9">
        <v>127.35</v>
      </c>
      <c r="BR280" s="4"/>
      <c r="BS280" s="4"/>
      <c r="BT280" s="4"/>
      <c r="BU280" s="4"/>
      <c r="BV280" s="4"/>
      <c r="BW280" s="4"/>
      <c r="BX280" s="4"/>
      <c r="BY280" s="9">
        <f>+INT(BK280*faktorji!$B$3)</f>
        <v>862</v>
      </c>
      <c r="BZ280" s="9">
        <f>+INT(BL280*faktorji!$B$4)</f>
        <v>993</v>
      </c>
      <c r="CA280" s="3" t="s">
        <v>1313</v>
      </c>
      <c r="CB280" s="4">
        <v>0</v>
      </c>
      <c r="CC280" s="4">
        <v>0</v>
      </c>
      <c r="CD280" s="4">
        <v>0</v>
      </c>
      <c r="CE280" s="4">
        <v>0</v>
      </c>
      <c r="CF280" s="4">
        <v>0</v>
      </c>
      <c r="CG280" s="4">
        <v>1</v>
      </c>
      <c r="CH280" s="4">
        <v>1</v>
      </c>
      <c r="CI280" s="9">
        <f>+BQ280*(CB280*faktorji!$B$21+'MOL_tabela rezultatov'!CF22*faktorji!$B$23+'MOL_tabela rezultatov'!CH22*faktorji!$B$26)+faktorji!$B$27*CG280</f>
        <v>18191.025000000001</v>
      </c>
      <c r="CJ280" s="9">
        <f>+(BZ280*CF280*faktorji!$B$18)+(CG280*faktorji!$B$17*('MOL_tabela rezultatov'!BY22+'MOL_tabela rezultatov'!BZ22))+('MOL_tabela rezultatov'!CH22*faktorji!$B$16*'MOL_tabela rezultatov'!BY22)+('MOL_tabela rezultatov'!CB22*faktorji!$B$12*'MOL_tabela rezultatov'!BY22)</f>
        <v>0</v>
      </c>
      <c r="CK280" s="66" t="e">
        <f>+CI280/CJ280</f>
        <v>#DIV/0!</v>
      </c>
      <c r="CL280" s="3" t="str">
        <f>CONCATENATE(IF(CB280&gt;0,"kotlovnica/toplotna postaja, ",""),IF(CF280&gt;0,"razsvetljava, ",""),IF(CG280&gt;0,"energetsko upravljanje, ",""),IF(CH280&gt;0,"manjši investicijski in organizacijski ukrepi, ",""))</f>
        <v xml:space="preserve">energetsko upravljanje, manjši investicijski in organizacijski ukrepi, </v>
      </c>
      <c r="CM280" s="9">
        <f>+CJ280*0.9</f>
        <v>0</v>
      </c>
      <c r="CN280" s="9">
        <f>+CJ280*0.9</f>
        <v>0</v>
      </c>
      <c r="CO280" s="9">
        <f>+CJ280*0.9</f>
        <v>0</v>
      </c>
      <c r="CP280" s="69">
        <f>+IF(CI280-SUM(CM280:CO280)&lt;0,0,CI280-SUM(CM280:CO280))</f>
        <v>18191.025000000001</v>
      </c>
      <c r="CQ280" s="9">
        <f>+(BQ280*CE280*faktorji!$B$24)+(BQ280^0.5*CC280*4*4*0.66*faktorji!$B$22)+(BQ280^0.5*CD280*4*4*0.33*faktorji!$B$25)</f>
        <v>0</v>
      </c>
      <c r="CR280" s="3" t="str">
        <f t="shared" si="221"/>
        <v/>
      </c>
      <c r="CS280" s="9">
        <f>+BQ280*('MOL_tabela rezultatov'!CH280*faktorji!$B$26)+faktorji!$B$27*CG280</f>
        <v>18191.025000000001</v>
      </c>
      <c r="CT280" s="3" t="str">
        <f t="shared" si="219"/>
        <v xml:space="preserve">energetsko upravljanje, manjši investicijski in organizacijski ukrepi, </v>
      </c>
      <c r="CU280" s="9">
        <f t="shared" si="251"/>
        <v>4547.7562500000004</v>
      </c>
      <c r="CV280" s="9">
        <f t="shared" ref="CV280:CX280" si="261">+CU280</f>
        <v>4547.7562500000004</v>
      </c>
      <c r="CW280" s="9">
        <f t="shared" si="261"/>
        <v>4547.7562500000004</v>
      </c>
      <c r="CX280" s="69">
        <f t="shared" si="261"/>
        <v>4547.7562500000004</v>
      </c>
    </row>
    <row r="281" spans="1:102" s="10" customFormat="1" ht="18" hidden="1" customHeight="1">
      <c r="A281" s="54" t="s">
        <v>50</v>
      </c>
      <c r="B281" s="3" t="s">
        <v>51</v>
      </c>
      <c r="C281" s="56"/>
      <c r="D281" s="56"/>
      <c r="E281" s="51" t="s">
        <v>1168</v>
      </c>
      <c r="F281" s="51" t="s">
        <v>1255</v>
      </c>
      <c r="G281" s="51">
        <v>2</v>
      </c>
      <c r="H281" s="51"/>
      <c r="I281" s="51"/>
      <c r="J281" s="51">
        <v>4</v>
      </c>
      <c r="K281" s="37" t="s">
        <v>1244</v>
      </c>
      <c r="L281" s="50"/>
      <c r="M281" s="4" t="s">
        <v>6</v>
      </c>
      <c r="N281" s="25"/>
      <c r="O281" s="25">
        <v>30.2</v>
      </c>
      <c r="P281" s="25"/>
      <c r="Q281" s="25"/>
      <c r="R281" s="25"/>
      <c r="S281" s="25"/>
      <c r="T281" s="25">
        <v>10.94</v>
      </c>
      <c r="U281" s="25">
        <v>41.14</v>
      </c>
      <c r="V281" s="30">
        <v>67.00146986771189</v>
      </c>
      <c r="W281" s="30">
        <v>184.95835374816266</v>
      </c>
      <c r="X281" s="31"/>
      <c r="Y281" s="31">
        <v>18.760000000000002</v>
      </c>
      <c r="Z281" s="31"/>
      <c r="AA281" s="31"/>
      <c r="AB281" s="31"/>
      <c r="AC281" s="31">
        <v>13.43</v>
      </c>
      <c r="AD281" s="31"/>
      <c r="AE281" s="32">
        <v>114.89465948064674</v>
      </c>
      <c r="AF281" s="1"/>
      <c r="AG281" s="4"/>
      <c r="AH281" s="4"/>
      <c r="AI281" s="6">
        <v>163.28</v>
      </c>
      <c r="AJ281" s="38">
        <v>100</v>
      </c>
      <c r="AK281" s="3" t="s">
        <v>25</v>
      </c>
      <c r="AL281" s="1" t="s">
        <v>26</v>
      </c>
      <c r="AM281" s="37"/>
      <c r="AN281" s="37"/>
      <c r="AO281" s="37"/>
      <c r="AP281" s="37"/>
      <c r="AQ281" s="37"/>
      <c r="AR281" s="37"/>
      <c r="AS281" s="37"/>
      <c r="AT281" s="37"/>
      <c r="AU281" s="37"/>
      <c r="AV281" s="37"/>
      <c r="AW281" s="37"/>
      <c r="AX281" s="37"/>
      <c r="AY281" s="37"/>
      <c r="AZ281" s="37"/>
      <c r="BA281" s="37"/>
      <c r="BB281" s="37"/>
      <c r="BC281" s="37"/>
      <c r="BD281" s="37"/>
      <c r="BE281" s="37"/>
      <c r="BF281" s="37"/>
      <c r="BG281" s="42"/>
      <c r="BH281" s="42">
        <v>25.26</v>
      </c>
      <c r="BI281" s="42"/>
      <c r="BJ281" s="42"/>
      <c r="BK281" s="44">
        <v>25.26</v>
      </c>
      <c r="BL281" s="44">
        <v>10.94</v>
      </c>
      <c r="BM281" s="44">
        <f>+BK281+BL281</f>
        <v>36.200000000000003</v>
      </c>
      <c r="BN281" s="47">
        <v>154.70357667809898</v>
      </c>
      <c r="BO281" s="47">
        <v>67.001469867711904</v>
      </c>
      <c r="BP281" s="45">
        <v>221.70504654581089</v>
      </c>
      <c r="BQ281" s="9">
        <v>163.28</v>
      </c>
      <c r="BR281" s="4"/>
      <c r="BS281" s="4"/>
      <c r="BT281" s="4"/>
      <c r="BU281" s="4"/>
      <c r="BV281" s="4"/>
      <c r="BW281" s="4"/>
      <c r="BX281" s="4"/>
      <c r="BY281" s="9">
        <f>+INT(BK281*faktorji!$B$5)</f>
        <v>2399</v>
      </c>
      <c r="BZ281" s="9">
        <f>+INT(BL281*faktorji!$B$4)</f>
        <v>1805</v>
      </c>
      <c r="CA281" s="3" t="s">
        <v>1313</v>
      </c>
      <c r="CB281" s="4">
        <v>0</v>
      </c>
      <c r="CC281" s="4">
        <v>0</v>
      </c>
      <c r="CD281" s="4">
        <v>0</v>
      </c>
      <c r="CE281" s="4">
        <v>0</v>
      </c>
      <c r="CF281" s="4">
        <v>0</v>
      </c>
      <c r="CG281" s="4">
        <v>1</v>
      </c>
      <c r="CH281" s="4">
        <v>1</v>
      </c>
      <c r="CI281" s="9">
        <f>+BQ281*(CB281*faktorji!$B$21+'MOL_tabela rezultatov'!CF14*faktorji!$B$23+'MOL_tabela rezultatov'!CH14*faktorji!$B$26)+faktorji!$B$27*CG281</f>
        <v>18244.919999999998</v>
      </c>
      <c r="CJ281" s="9">
        <f>+(BZ281*CF281*faktorji!$B$18)+(CG281*faktorji!$B$17*('MOL_tabela rezultatov'!BY14+'MOL_tabela rezultatov'!BZ14))+('MOL_tabela rezultatov'!CH14*faktorji!$B$16*'MOL_tabela rezultatov'!BY14)+('MOL_tabela rezultatov'!CB14*faktorji!$B$12*'MOL_tabela rezultatov'!BY14)</f>
        <v>0</v>
      </c>
      <c r="CK281" s="66" t="e">
        <f>+CI281/CJ281</f>
        <v>#DIV/0!</v>
      </c>
      <c r="CL281" s="3" t="str">
        <f>CONCATENATE(IF(CB281&gt;0,"kotlovnica/toplotna postaja, ",""),IF(CF281&gt;0,"razsvetljava, ",""),IF(CG281&gt;0,"energetsko upravljanje, ",""),IF(CH281&gt;0,"manjši investicijski in organizacijski ukrepi, ",""))</f>
        <v xml:space="preserve">energetsko upravljanje, manjši investicijski in organizacijski ukrepi, </v>
      </c>
      <c r="CM281" s="9">
        <f>+CJ281*0.9</f>
        <v>0</v>
      </c>
      <c r="CN281" s="9">
        <f>+CJ281*0.9</f>
        <v>0</v>
      </c>
      <c r="CO281" s="9">
        <f>+CJ281*0.9</f>
        <v>0</v>
      </c>
      <c r="CP281" s="69">
        <f>+IF(CI281-SUM(CM281:CO281)&lt;0,0,CI281-SUM(CM281:CO281))</f>
        <v>18244.919999999998</v>
      </c>
      <c r="CQ281" s="9">
        <f>+(BQ281*CE281*faktorji!$B$24)+(BQ281^0.5*CC281*4*4*0.66*faktorji!$B$22)+(BQ281^0.5*CD281*4*4*0.33*faktorji!$B$25)</f>
        <v>0</v>
      </c>
      <c r="CR281" s="3" t="str">
        <f t="shared" si="221"/>
        <v/>
      </c>
      <c r="CS281" s="9">
        <f>+BQ281*('MOL_tabela rezultatov'!CH281*faktorji!$B$26)+faktorji!$B$27*CG281</f>
        <v>18244.919999999998</v>
      </c>
      <c r="CT281" s="3" t="str">
        <f t="shared" si="219"/>
        <v xml:space="preserve">energetsko upravljanje, manjši investicijski in organizacijski ukrepi, </v>
      </c>
      <c r="CU281" s="9">
        <f t="shared" si="251"/>
        <v>4561.2299999999996</v>
      </c>
      <c r="CV281" s="9">
        <f t="shared" ref="CV281:CX281" si="262">+CU281</f>
        <v>4561.2299999999996</v>
      </c>
      <c r="CW281" s="9">
        <f t="shared" si="262"/>
        <v>4561.2299999999996</v>
      </c>
      <c r="CX281" s="69">
        <f t="shared" si="262"/>
        <v>4561.2299999999996</v>
      </c>
    </row>
    <row r="282" spans="1:102" s="10" customFormat="1" ht="18" hidden="1" customHeight="1">
      <c r="A282" s="54" t="s">
        <v>1278</v>
      </c>
      <c r="B282" s="2" t="s">
        <v>264</v>
      </c>
      <c r="C282" s="57"/>
      <c r="D282" s="57"/>
      <c r="E282" s="51" t="s">
        <v>1173</v>
      </c>
      <c r="F282" s="51"/>
      <c r="G282" s="51">
        <v>2</v>
      </c>
      <c r="H282" s="51"/>
      <c r="I282" s="51"/>
      <c r="J282" s="51">
        <v>3</v>
      </c>
      <c r="K282" s="37" t="s">
        <v>1243</v>
      </c>
      <c r="L282" s="50"/>
      <c r="M282" s="4" t="s">
        <v>5</v>
      </c>
      <c r="N282" s="25">
        <v>429.04</v>
      </c>
      <c r="O282" s="25"/>
      <c r="P282" s="25"/>
      <c r="Q282" s="25"/>
      <c r="R282" s="25"/>
      <c r="S282" s="25"/>
      <c r="T282" s="25">
        <v>69.954731174511394</v>
      </c>
      <c r="U282" s="25">
        <v>498.9947311745114</v>
      </c>
      <c r="V282" s="30">
        <v>26.458416828802132</v>
      </c>
      <c r="W282" s="30">
        <v>162.27235764670286</v>
      </c>
      <c r="X282" s="33">
        <v>390.73</v>
      </c>
      <c r="Y282" s="31"/>
      <c r="Z282" s="31"/>
      <c r="AA282" s="31"/>
      <c r="AB282" s="31"/>
      <c r="AC282" s="31">
        <v>16.884</v>
      </c>
      <c r="AD282" s="31"/>
      <c r="AE282" s="32">
        <v>147.78267365116588</v>
      </c>
      <c r="AF282" s="1"/>
      <c r="AG282" s="4">
        <v>1971</v>
      </c>
      <c r="AH282" s="4"/>
      <c r="AI282" s="6">
        <v>2643.95</v>
      </c>
      <c r="AJ282" s="38">
        <v>100</v>
      </c>
      <c r="AK282" s="3"/>
      <c r="AL282" s="1" t="s">
        <v>250</v>
      </c>
      <c r="AM282" s="37">
        <v>353.46</v>
      </c>
      <c r="AN282" s="37">
        <v>366.68</v>
      </c>
      <c r="AO282" s="37">
        <v>296.10000000000002</v>
      </c>
      <c r="AP282" s="37">
        <v>315.89999999999998</v>
      </c>
      <c r="AQ282" s="37"/>
      <c r="AR282" s="37"/>
      <c r="AS282" s="37"/>
      <c r="AT282" s="37"/>
      <c r="AU282" s="37"/>
      <c r="AV282" s="37"/>
      <c r="AW282" s="37"/>
      <c r="AX282" s="37"/>
      <c r="AY282" s="37"/>
      <c r="AZ282" s="37"/>
      <c r="BA282" s="37"/>
      <c r="BB282" s="37"/>
      <c r="BC282" s="37">
        <v>122.3</v>
      </c>
      <c r="BD282" s="37">
        <v>135.5</v>
      </c>
      <c r="BE282" s="37">
        <v>120.1</v>
      </c>
      <c r="BF282" s="37">
        <v>110.5</v>
      </c>
      <c r="BG282" s="42">
        <v>333.03499999999997</v>
      </c>
      <c r="BH282" s="42"/>
      <c r="BI282" s="42"/>
      <c r="BJ282" s="42"/>
      <c r="BK282" s="44">
        <v>333.03499999999997</v>
      </c>
      <c r="BL282" s="44">
        <v>122.1</v>
      </c>
      <c r="BM282" s="44">
        <f>+BK282+BL282</f>
        <v>455.13499999999999</v>
      </c>
      <c r="BN282" s="47">
        <v>149.54422990570271</v>
      </c>
      <c r="BO282" s="47">
        <v>54.827121688370006</v>
      </c>
      <c r="BP282" s="45">
        <v>204.37135159407273</v>
      </c>
      <c r="BQ282" s="9">
        <v>2227</v>
      </c>
      <c r="BR282" s="4">
        <v>393.35</v>
      </c>
      <c r="BS282" s="4"/>
      <c r="BT282" s="4" t="s">
        <v>1155</v>
      </c>
      <c r="BU282" s="4"/>
      <c r="BV282" s="4"/>
      <c r="BW282" s="4"/>
      <c r="BX282" s="4"/>
      <c r="BY282" s="9">
        <f>+INT(BK282*faktorji!$B$3)</f>
        <v>21647</v>
      </c>
      <c r="BZ282" s="9">
        <f>+INT(BL282*faktorji!$B$4)</f>
        <v>20146</v>
      </c>
      <c r="CA282" s="72" t="s">
        <v>1299</v>
      </c>
      <c r="CB282" s="4">
        <v>0</v>
      </c>
      <c r="CC282" s="4">
        <v>0</v>
      </c>
      <c r="CD282" s="4">
        <v>0</v>
      </c>
      <c r="CE282" s="4">
        <v>0</v>
      </c>
      <c r="CF282" s="4">
        <v>1</v>
      </c>
      <c r="CG282" s="4">
        <v>1</v>
      </c>
      <c r="CH282" s="4">
        <v>1</v>
      </c>
      <c r="CI282" s="9">
        <f>+BQ282*(CB282*faktorji!$B$21+'MOL_tabela rezultatov'!CF100*faktorji!$B$23+'MOL_tabela rezultatov'!CH100*faktorji!$B$26)+faktorji!$B$27*CG282</f>
        <v>54745.5</v>
      </c>
      <c r="CJ282" s="9">
        <f>+(BZ282*CF282*faktorji!$B$18)+(CG282*faktorji!$B$17*('MOL_tabela rezultatov'!BY100+'MOL_tabela rezultatov'!BZ100))+('MOL_tabela rezultatov'!CH100*faktorji!$B$16*'MOL_tabela rezultatov'!BY100)+('MOL_tabela rezultatov'!CB100*faktorji!$B$12*'MOL_tabela rezultatov'!BY100)</f>
        <v>11628.900000000001</v>
      </c>
      <c r="CK282" s="66">
        <f>+CI282/CJ282</f>
        <v>4.7077109614838886</v>
      </c>
      <c r="CL282" s="3" t="str">
        <f>CONCATENATE(IF(CB282&gt;0,"kotlovnica/toplotna postaja, ",""),IF(CF282&gt;0,"razsvetljava, ",""),IF(CG282&gt;0,"energetsko upravljanje, ",""),IF(CH282&gt;0,"manjši investicijski in organizacijski ukrepi, ",""))</f>
        <v xml:space="preserve">razsvetljava, energetsko upravljanje, manjši investicijski in organizacijski ukrepi, </v>
      </c>
      <c r="CM282" s="9">
        <f>+CJ282*0.9</f>
        <v>10466.010000000002</v>
      </c>
      <c r="CN282" s="9">
        <f>+CJ282*0.9</f>
        <v>10466.010000000002</v>
      </c>
      <c r="CO282" s="9">
        <f>+CJ282*0.9</f>
        <v>10466.010000000002</v>
      </c>
      <c r="CP282" s="69">
        <f>+IF(CI282-SUM(CM282:CO282)&lt;0,0,CI282-SUM(CM282:CO282))</f>
        <v>23347.469999999994</v>
      </c>
      <c r="CQ282" s="9">
        <f>+(BQ282*CE282*faktorji!$B$24)+(BQ282^0.5*CC282*4*4*0.66*faktorji!$B$22)+(BQ282^0.5*CD282*4*4*0.33*faktorji!$B$25)</f>
        <v>0</v>
      </c>
      <c r="CR282" s="3" t="str">
        <f t="shared" si="221"/>
        <v/>
      </c>
      <c r="CS282" s="9">
        <f>+BQ282*('MOL_tabela rezultatov'!CH282*faktorji!$B$26)+faktorji!$B$27*CG282</f>
        <v>21340.5</v>
      </c>
      <c r="CT282" s="3" t="str">
        <f t="shared" si="219"/>
        <v xml:space="preserve">energetsko upravljanje, manjši investicijski in organizacijski ukrepi, </v>
      </c>
      <c r="CU282" s="9">
        <f t="shared" si="251"/>
        <v>5335.125</v>
      </c>
      <c r="CV282" s="9">
        <f t="shared" ref="CV282:CX282" si="263">+CU282</f>
        <v>5335.125</v>
      </c>
      <c r="CW282" s="9">
        <f t="shared" si="263"/>
        <v>5335.125</v>
      </c>
      <c r="CX282" s="69">
        <f t="shared" si="263"/>
        <v>5335.125</v>
      </c>
    </row>
    <row r="283" spans="1:102" s="10" customFormat="1" ht="18" hidden="1" customHeight="1">
      <c r="A283" s="54" t="s">
        <v>151</v>
      </c>
      <c r="B283" s="3" t="s">
        <v>152</v>
      </c>
      <c r="C283" s="56"/>
      <c r="D283" s="56"/>
      <c r="E283" s="51" t="s">
        <v>1169</v>
      </c>
      <c r="F283" s="51"/>
      <c r="G283" s="51">
        <v>4</v>
      </c>
      <c r="H283" s="51"/>
      <c r="I283" s="51"/>
      <c r="J283" s="51">
        <v>6</v>
      </c>
      <c r="K283" s="37" t="s">
        <v>1242</v>
      </c>
      <c r="L283" s="50"/>
      <c r="M283" s="4" t="s">
        <v>5</v>
      </c>
      <c r="N283" s="25">
        <v>10.693708771929826</v>
      </c>
      <c r="O283" s="25"/>
      <c r="P283" s="25"/>
      <c r="Q283" s="25"/>
      <c r="R283" s="25"/>
      <c r="S283" s="25"/>
      <c r="T283" s="25">
        <v>4.2169087719298242</v>
      </c>
      <c r="U283" s="25">
        <v>14.910617543859651</v>
      </c>
      <c r="V283" s="30">
        <v>45.835964912280694</v>
      </c>
      <c r="W283" s="30">
        <v>116.23596491228071</v>
      </c>
      <c r="X283" s="31"/>
      <c r="Y283" s="31"/>
      <c r="Z283" s="31"/>
      <c r="AA283" s="31"/>
      <c r="AB283" s="31"/>
      <c r="AC283" s="31"/>
      <c r="AD283" s="31"/>
      <c r="AE283" s="32"/>
      <c r="AF283" s="1"/>
      <c r="AG283" s="4"/>
      <c r="AH283" s="4"/>
      <c r="AI283" s="6">
        <v>92</v>
      </c>
      <c r="AJ283" s="38"/>
      <c r="AK283" s="3"/>
      <c r="AL283" s="1"/>
      <c r="AM283" s="37"/>
      <c r="AN283" s="37"/>
      <c r="AO283" s="37"/>
      <c r="AP283" s="37"/>
      <c r="AQ283" s="37"/>
      <c r="AR283" s="37"/>
      <c r="AS283" s="37"/>
      <c r="AT283" s="37"/>
      <c r="AU283" s="37"/>
      <c r="AV283" s="37"/>
      <c r="AW283" s="37"/>
      <c r="AX283" s="37"/>
      <c r="AY283" s="37"/>
      <c r="AZ283" s="37"/>
      <c r="BA283" s="37"/>
      <c r="BB283" s="37"/>
      <c r="BC283" s="37"/>
      <c r="BD283" s="37"/>
      <c r="BE283" s="37"/>
      <c r="BF283" s="37"/>
      <c r="BG283" s="42">
        <v>11.021600000000001</v>
      </c>
      <c r="BH283" s="42"/>
      <c r="BI283" s="42"/>
      <c r="BJ283" s="42"/>
      <c r="BK283" s="44">
        <v>11.021600000000001</v>
      </c>
      <c r="BL283" s="44">
        <v>8.4271999999999991</v>
      </c>
      <c r="BM283" s="44">
        <f>+BK283+BL283</f>
        <v>19.448799999999999</v>
      </c>
      <c r="BN283" s="47">
        <v>119.8</v>
      </c>
      <c r="BO283" s="47">
        <v>91.6</v>
      </c>
      <c r="BP283" s="45">
        <v>211.4</v>
      </c>
      <c r="BQ283" s="9">
        <v>92</v>
      </c>
      <c r="BR283" s="4"/>
      <c r="BS283" s="4"/>
      <c r="BT283" s="4" t="s">
        <v>1111</v>
      </c>
      <c r="BU283" s="4" t="s">
        <v>1112</v>
      </c>
      <c r="BV283" s="4"/>
      <c r="BW283" s="4"/>
      <c r="BX283" s="4"/>
      <c r="BY283" s="9">
        <f>+INT(BK283*faktorji!$B$3)</f>
        <v>716</v>
      </c>
      <c r="BZ283" s="9">
        <f>+INT(BL283*faktorji!$B$4)</f>
        <v>1390</v>
      </c>
      <c r="CA283" s="4"/>
      <c r="CB283" s="4">
        <v>0</v>
      </c>
      <c r="CC283" s="4">
        <v>0</v>
      </c>
      <c r="CD283" s="4">
        <v>0</v>
      </c>
      <c r="CE283" s="4">
        <v>0</v>
      </c>
      <c r="CF283" s="4">
        <v>1</v>
      </c>
      <c r="CG283" s="4">
        <v>1</v>
      </c>
      <c r="CH283" s="4">
        <v>1</v>
      </c>
      <c r="CI283" s="9">
        <f>+BQ283*(CB283*faktorji!$B$21+'MOL_tabela rezultatov'!CF53*faktorji!$B$23+'MOL_tabela rezultatov'!CH53*faktorji!$B$26)+faktorji!$B$27*CG283</f>
        <v>18138</v>
      </c>
      <c r="CJ283" s="9">
        <f>+(BZ283*CF283*faktorji!$B$18)+(CG283*faktorji!$B$17*('MOL_tabela rezultatov'!BY53+'MOL_tabela rezultatov'!BZ53))+('MOL_tabela rezultatov'!CH53*faktorji!$B$16*'MOL_tabela rezultatov'!BY53)+('MOL_tabela rezultatov'!CB53*faktorji!$B$12*'MOL_tabela rezultatov'!BY53)</f>
        <v>5088</v>
      </c>
      <c r="CK283" s="66">
        <f>+CI283/CJ283</f>
        <v>3.5648584905660377</v>
      </c>
      <c r="CL283" s="3" t="str">
        <f>CONCATENATE(IF(CB283&gt;0,"kotlovnica/toplotna postaja, ",""),IF(CF283&gt;0,"razsvetljava, ",""),IF(CG283&gt;0,"energetsko upravljanje, ",""),IF(CH283&gt;0,"manjši investicijski in organizacijski ukrepi, ",""))</f>
        <v xml:space="preserve">razsvetljava, energetsko upravljanje, manjši investicijski in organizacijski ukrepi, </v>
      </c>
      <c r="CM283" s="9">
        <f>+CJ283*0.9</f>
        <v>4579.2</v>
      </c>
      <c r="CN283" s="9">
        <f>+CJ283*0.9</f>
        <v>4579.2</v>
      </c>
      <c r="CO283" s="9">
        <f>+CJ283*0.9</f>
        <v>4579.2</v>
      </c>
      <c r="CP283" s="69">
        <f>+IF(CI283-SUM(CM283:CO283)&lt;0,0,CI283-SUM(CM283:CO283))</f>
        <v>4400.4000000000015</v>
      </c>
      <c r="CQ283" s="9">
        <f>+(BQ283*CE283*faktorji!$B$24)+(BQ283^0.5*CC283*4*4*0.66*faktorji!$B$22)+(BQ283^0.5*CD283*4*4*0.33*faktorji!$B$25)</f>
        <v>0</v>
      </c>
      <c r="CR283" s="3" t="str">
        <f t="shared" si="221"/>
        <v/>
      </c>
      <c r="CS283" s="9">
        <f>+BQ283*('MOL_tabela rezultatov'!CH283*faktorji!$B$26)+faktorji!$B$27*CG283</f>
        <v>18138</v>
      </c>
      <c r="CT283" s="3" t="str">
        <f t="shared" si="219"/>
        <v xml:space="preserve">energetsko upravljanje, manjši investicijski in organizacijski ukrepi, </v>
      </c>
      <c r="CU283" s="9">
        <f t="shared" si="251"/>
        <v>4534.5</v>
      </c>
      <c r="CV283" s="9">
        <f t="shared" ref="CV283:CX283" si="264">+CU283</f>
        <v>4534.5</v>
      </c>
      <c r="CW283" s="9">
        <f t="shared" si="264"/>
        <v>4534.5</v>
      </c>
      <c r="CX283" s="69">
        <f t="shared" si="264"/>
        <v>4534.5</v>
      </c>
    </row>
    <row r="284" spans="1:102" s="10" customFormat="1" ht="18" hidden="1" customHeight="1">
      <c r="A284" s="54" t="s">
        <v>232</v>
      </c>
      <c r="B284" s="3" t="s">
        <v>233</v>
      </c>
      <c r="C284" s="56"/>
      <c r="D284" s="56"/>
      <c r="E284" s="51" t="s">
        <v>1172</v>
      </c>
      <c r="F284" s="51"/>
      <c r="G284" s="51">
        <v>4</v>
      </c>
      <c r="H284" s="51"/>
      <c r="I284" s="51"/>
      <c r="J284" s="51">
        <v>7</v>
      </c>
      <c r="K284" s="37" t="s">
        <v>1243</v>
      </c>
      <c r="L284" s="50"/>
      <c r="M284" s="4" t="s">
        <v>5</v>
      </c>
      <c r="N284" s="25">
        <v>411.56778760178543</v>
      </c>
      <c r="O284" s="25"/>
      <c r="P284" s="25"/>
      <c r="Q284" s="25"/>
      <c r="R284" s="25"/>
      <c r="S284" s="25"/>
      <c r="T284" s="25">
        <v>175.18068750890311</v>
      </c>
      <c r="U284" s="25">
        <v>586.74847511068856</v>
      </c>
      <c r="V284" s="30">
        <v>64.881736114408568</v>
      </c>
      <c r="W284" s="30">
        <v>152.43251392658721</v>
      </c>
      <c r="X284" s="31"/>
      <c r="Y284" s="31"/>
      <c r="Z284" s="31"/>
      <c r="AA284" s="31"/>
      <c r="AB284" s="31"/>
      <c r="AC284" s="31"/>
      <c r="AD284" s="31"/>
      <c r="AE284" s="32"/>
      <c r="AF284" s="1"/>
      <c r="AG284" s="4"/>
      <c r="AH284" s="4">
        <v>2009</v>
      </c>
      <c r="AI284" s="6">
        <v>2700</v>
      </c>
      <c r="AJ284" s="38"/>
      <c r="AK284" s="3"/>
      <c r="AL284" s="1"/>
      <c r="AM284" s="37">
        <f>36.81+0.54</f>
        <v>37.35</v>
      </c>
      <c r="AN284" s="37">
        <f>84.5+2.48</f>
        <v>86.98</v>
      </c>
      <c r="AO284" s="37">
        <f>67.6+1.78</f>
        <v>69.38</v>
      </c>
      <c r="AP284" s="37">
        <f>69.93+1.72</f>
        <v>71.650000000000006</v>
      </c>
      <c r="AQ284" s="37"/>
      <c r="AR284" s="37"/>
      <c r="AS284" s="37"/>
      <c r="AT284" s="37"/>
      <c r="AU284" s="37"/>
      <c r="AV284" s="37"/>
      <c r="AW284" s="37"/>
      <c r="AX284" s="37"/>
      <c r="AY284" s="37"/>
      <c r="AZ284" s="37"/>
      <c r="BA284" s="37"/>
      <c r="BB284" s="37"/>
      <c r="BC284" s="37">
        <v>106.4</v>
      </c>
      <c r="BD284" s="37">
        <v>221.1</v>
      </c>
      <c r="BE284" s="37">
        <v>216.7</v>
      </c>
      <c r="BF284" s="37">
        <v>235.1</v>
      </c>
      <c r="BG284" s="42">
        <v>66.34</v>
      </c>
      <c r="BH284" s="42"/>
      <c r="BI284" s="42"/>
      <c r="BJ284" s="42"/>
      <c r="BK284" s="44">
        <v>66.34</v>
      </c>
      <c r="BL284" s="44">
        <v>194.82500000000002</v>
      </c>
      <c r="BM284" s="44">
        <f>+BK284+BL284</f>
        <v>261.16500000000002</v>
      </c>
      <c r="BN284" s="47">
        <v>35.475935828877006</v>
      </c>
      <c r="BO284" s="47">
        <v>104.18449197860964</v>
      </c>
      <c r="BP284" s="45">
        <v>139.66042780748666</v>
      </c>
      <c r="BQ284" s="9">
        <v>1870</v>
      </c>
      <c r="BR284" s="4">
        <v>201</v>
      </c>
      <c r="BS284" s="4">
        <v>2009</v>
      </c>
      <c r="BT284" s="1" t="s">
        <v>872</v>
      </c>
      <c r="BU284" s="1" t="s">
        <v>1126</v>
      </c>
      <c r="BV284" s="4"/>
      <c r="BW284" s="4"/>
      <c r="BX284" s="4"/>
      <c r="BY284" s="9">
        <f>+INT(BK284*faktorji!$B$3)</f>
        <v>4312</v>
      </c>
      <c r="BZ284" s="9">
        <f>+INT(BL284*faktorji!$B$4)</f>
        <v>32146</v>
      </c>
      <c r="CA284" s="4"/>
      <c r="CB284" s="4">
        <v>0</v>
      </c>
      <c r="CC284" s="4">
        <v>0</v>
      </c>
      <c r="CD284" s="4">
        <v>0</v>
      </c>
      <c r="CE284" s="4">
        <v>0</v>
      </c>
      <c r="CF284" s="4">
        <v>1</v>
      </c>
      <c r="CG284" s="4">
        <v>1</v>
      </c>
      <c r="CH284" s="4">
        <v>1</v>
      </c>
      <c r="CI284" s="9">
        <f>+BQ284*(CB284*faktorji!$B$21+'MOL_tabela rezultatov'!CF82*faktorji!$B$23+'MOL_tabela rezultatov'!CH82*faktorji!$B$26)+faktorji!$B$27*CG284</f>
        <v>48855</v>
      </c>
      <c r="CJ284" s="9">
        <f>+(BZ284*CF284*faktorji!$B$18)+(CG284*faktorji!$B$17*('MOL_tabela rezultatov'!BY82+'MOL_tabela rezultatov'!BZ82))+('MOL_tabela rezultatov'!CH82*faktorji!$B$16*'MOL_tabela rezultatov'!BY82)+('MOL_tabela rezultatov'!CB82*faktorji!$B$12*'MOL_tabela rezultatov'!BY82)</f>
        <v>14132.6</v>
      </c>
      <c r="CK284" s="66">
        <f>+CI284/CJ284</f>
        <v>3.4569010656213295</v>
      </c>
      <c r="CL284" s="3" t="str">
        <f>CONCATENATE(IF(CB284&gt;0,"kotlovnica/toplotna postaja, ",""),IF(CF284&gt;0,"razsvetljava, ",""),IF(CG284&gt;0,"energetsko upravljanje, ",""),IF(CH284&gt;0,"manjši investicijski in organizacijski ukrepi, ",""))</f>
        <v xml:space="preserve">razsvetljava, energetsko upravljanje, manjši investicijski in organizacijski ukrepi, </v>
      </c>
      <c r="CM284" s="9">
        <f>+CJ284*0.9</f>
        <v>12719.34</v>
      </c>
      <c r="CN284" s="9">
        <f>+CJ284*0.9</f>
        <v>12719.34</v>
      </c>
      <c r="CO284" s="9">
        <f>+CJ284*0.9</f>
        <v>12719.34</v>
      </c>
      <c r="CP284" s="69">
        <f>+IF(CI284-SUM(CM284:CO284)&lt;0,0,CI284-SUM(CM284:CO284))</f>
        <v>10696.979999999996</v>
      </c>
      <c r="CQ284" s="9">
        <f>+(BQ284*CE284*faktorji!$B$24)+(BQ284^0.5*CC284*4*4*0.66*faktorji!$B$22)+(BQ284^0.5*CD284*4*4*0.33*faktorji!$B$25)</f>
        <v>0</v>
      </c>
      <c r="CR284" s="3" t="str">
        <f t="shared" si="221"/>
        <v/>
      </c>
      <c r="CS284" s="9">
        <f>+BQ284*('MOL_tabela rezultatov'!CH284*faktorji!$B$26)+faktorji!$B$27*CG284</f>
        <v>20805</v>
      </c>
      <c r="CT284" s="3" t="str">
        <f t="shared" si="219"/>
        <v xml:space="preserve">energetsko upravljanje, manjši investicijski in organizacijski ukrepi, </v>
      </c>
      <c r="CU284" s="9">
        <f t="shared" si="251"/>
        <v>5201.25</v>
      </c>
      <c r="CV284" s="9">
        <f t="shared" ref="CV284:CX284" si="265">+CU284</f>
        <v>5201.25</v>
      </c>
      <c r="CW284" s="9">
        <f t="shared" si="265"/>
        <v>5201.25</v>
      </c>
      <c r="CX284" s="69">
        <f t="shared" si="265"/>
        <v>5201.25</v>
      </c>
    </row>
    <row r="285" spans="1:102" s="10" customFormat="1" ht="18" hidden="1" customHeight="1">
      <c r="A285" s="53" t="s">
        <v>687</v>
      </c>
      <c r="B285" s="2" t="s">
        <v>688</v>
      </c>
      <c r="C285" s="57"/>
      <c r="D285" s="57"/>
      <c r="E285" s="51" t="s">
        <v>1176</v>
      </c>
      <c r="F285" s="51"/>
      <c r="G285" s="51">
        <v>3</v>
      </c>
      <c r="H285" s="51"/>
      <c r="I285" s="51"/>
      <c r="J285" s="51">
        <v>7</v>
      </c>
      <c r="K285" s="37" t="s">
        <v>1242</v>
      </c>
      <c r="L285" s="50"/>
      <c r="M285" s="4" t="s">
        <v>6</v>
      </c>
      <c r="N285" s="25"/>
      <c r="O285" s="25">
        <v>16.780562102443923</v>
      </c>
      <c r="P285" s="25"/>
      <c r="Q285" s="25"/>
      <c r="R285" s="25"/>
      <c r="S285" s="25"/>
      <c r="T285" s="25">
        <v>1.885</v>
      </c>
      <c r="U285" s="25">
        <v>18.665562102443925</v>
      </c>
      <c r="V285" s="30">
        <v>13.561151079136691</v>
      </c>
      <c r="W285" s="30">
        <v>120.72346836290593</v>
      </c>
      <c r="X285" s="31"/>
      <c r="Y285" s="31"/>
      <c r="Z285" s="31"/>
      <c r="AA285" s="31"/>
      <c r="AB285" s="31"/>
      <c r="AC285" s="31"/>
      <c r="AD285" s="31"/>
      <c r="AE285" s="32"/>
      <c r="AF285" s="16" t="s">
        <v>689</v>
      </c>
      <c r="AG285" s="3" t="s">
        <v>689</v>
      </c>
      <c r="AH285" s="4"/>
      <c r="AI285" s="6">
        <v>139</v>
      </c>
      <c r="AJ285" s="41">
        <v>4.6534984934717111E-2</v>
      </c>
      <c r="AK285" s="3"/>
      <c r="AL285" s="1" t="s">
        <v>421</v>
      </c>
      <c r="AM285" s="37"/>
      <c r="AN285" s="37"/>
      <c r="AO285" s="37"/>
      <c r="AP285" s="37"/>
      <c r="AQ285" s="37"/>
      <c r="AR285" s="37"/>
      <c r="AS285" s="37"/>
      <c r="AT285" s="37"/>
      <c r="AU285" s="37"/>
      <c r="AV285" s="37"/>
      <c r="AW285" s="37"/>
      <c r="AX285" s="37"/>
      <c r="AY285" s="37"/>
      <c r="AZ285" s="37"/>
      <c r="BA285" s="37"/>
      <c r="BB285" s="37"/>
      <c r="BC285" s="37">
        <v>3.4</v>
      </c>
      <c r="BD285" s="37">
        <v>3.6</v>
      </c>
      <c r="BE285" s="37">
        <v>3.4</v>
      </c>
      <c r="BF285" s="37">
        <v>3</v>
      </c>
      <c r="BG285" s="42"/>
      <c r="BH285" s="42">
        <v>16.78</v>
      </c>
      <c r="BI285" s="42"/>
      <c r="BJ285" s="42"/>
      <c r="BK285" s="44">
        <v>16.78</v>
      </c>
      <c r="BL285" s="44">
        <v>1.89</v>
      </c>
      <c r="BM285" s="44">
        <f>+BK285+BL285</f>
        <v>18.670000000000002</v>
      </c>
      <c r="BN285" s="47">
        <v>127.12121212121212</v>
      </c>
      <c r="BO285" s="47">
        <v>14.318181818181818</v>
      </c>
      <c r="BP285" s="45">
        <v>141.43939393939394</v>
      </c>
      <c r="BQ285" s="9">
        <v>132</v>
      </c>
      <c r="BR285" s="4"/>
      <c r="BS285" s="4"/>
      <c r="BT285" s="4"/>
      <c r="BU285" s="4"/>
      <c r="BV285" s="4"/>
      <c r="BW285" s="4"/>
      <c r="BX285" s="4"/>
      <c r="BY285" s="9">
        <f>+INT(BK285*faktorji!$B$5)</f>
        <v>1594</v>
      </c>
      <c r="BZ285" s="9">
        <f>+INT(BL285*faktorji!$B$4)</f>
        <v>311</v>
      </c>
      <c r="CA285" s="4"/>
      <c r="CB285" s="4">
        <v>0</v>
      </c>
      <c r="CC285" s="4">
        <v>0</v>
      </c>
      <c r="CD285" s="4">
        <v>0</v>
      </c>
      <c r="CE285" s="4">
        <v>0</v>
      </c>
      <c r="CF285" s="4">
        <v>0</v>
      </c>
      <c r="CG285" s="4">
        <v>1</v>
      </c>
      <c r="CH285" s="4">
        <v>1</v>
      </c>
      <c r="CI285" s="9">
        <f>+BQ285*(CB285*faktorji!$B$21+'MOL_tabela rezultatov'!CF254*faktorji!$B$23+'MOL_tabela rezultatov'!CH254*faktorji!$B$26)+faktorji!$B$27*CG285</f>
        <v>18000</v>
      </c>
      <c r="CJ285" s="9">
        <f>+(BZ285*CF285*faktorji!$B$18)+(CG285*faktorji!$B$17*('MOL_tabela rezultatov'!BY254+'MOL_tabela rezultatov'!BZ254))+('MOL_tabela rezultatov'!CH254*faktorji!$B$16*'MOL_tabela rezultatov'!BY254)+('MOL_tabela rezultatov'!CB254*faktorji!$B$12*'MOL_tabela rezultatov'!BY254)</f>
        <v>1082</v>
      </c>
      <c r="CK285" s="66">
        <f>+CI285/CJ285</f>
        <v>16.635859519408502</v>
      </c>
      <c r="CL285" s="3" t="str">
        <f>CONCATENATE(IF(CB285&gt;0,"kotlovnica/toplotna postaja, ",""),IF(CF285&gt;0,"razsvetljava, ",""),IF(CG285&gt;0,"energetsko upravljanje, ",""),IF(CH285&gt;0,"manjši investicijski in organizacijski ukrepi, ",""))</f>
        <v xml:space="preserve">energetsko upravljanje, manjši investicijski in organizacijski ukrepi, </v>
      </c>
      <c r="CM285" s="9">
        <f>+CJ285*0.9</f>
        <v>973.80000000000007</v>
      </c>
      <c r="CN285" s="9">
        <f>+CJ285*0.9</f>
        <v>973.80000000000007</v>
      </c>
      <c r="CO285" s="9">
        <f>+CJ285*0.9</f>
        <v>973.80000000000007</v>
      </c>
      <c r="CP285" s="69">
        <f>+IF(CI285-SUM(CM285:CO285)&lt;0,0,CI285-SUM(CM285:CO285))</f>
        <v>15078.6</v>
      </c>
      <c r="CQ285" s="9">
        <f>+(BQ285*CE285*faktorji!$B$24)+(BQ285^0.5*CC285*4*4*0.66*faktorji!$B$22)+(BQ285^0.5*CD285*4*4*0.33*faktorji!$B$25)</f>
        <v>0</v>
      </c>
      <c r="CR285" s="3" t="str">
        <f t="shared" si="221"/>
        <v/>
      </c>
      <c r="CS285" s="9">
        <f>+BQ285*('MOL_tabela rezultatov'!CH285*faktorji!$B$26)+faktorji!$B$27*CG285</f>
        <v>18198</v>
      </c>
      <c r="CT285" s="3" t="str">
        <f t="shared" si="219"/>
        <v xml:space="preserve">energetsko upravljanje, manjši investicijski in organizacijski ukrepi, </v>
      </c>
      <c r="CU285" s="9">
        <f t="shared" si="251"/>
        <v>4549.5</v>
      </c>
      <c r="CV285" s="9">
        <f t="shared" ref="CV285:CX285" si="266">+CU285</f>
        <v>4549.5</v>
      </c>
      <c r="CW285" s="9">
        <f t="shared" si="266"/>
        <v>4549.5</v>
      </c>
      <c r="CX285" s="69">
        <f t="shared" si="266"/>
        <v>4549.5</v>
      </c>
    </row>
    <row r="286" spans="1:102" s="10" customFormat="1" ht="18" hidden="1" customHeight="1">
      <c r="A286" s="53" t="s">
        <v>248</v>
      </c>
      <c r="B286" s="2" t="s">
        <v>252</v>
      </c>
      <c r="C286" s="57"/>
      <c r="D286" s="57"/>
      <c r="E286" s="51" t="s">
        <v>1173</v>
      </c>
      <c r="F286" s="51"/>
      <c r="G286" s="51">
        <v>3</v>
      </c>
      <c r="H286" s="51"/>
      <c r="I286" s="51"/>
      <c r="J286" s="51">
        <v>7</v>
      </c>
      <c r="K286" s="37" t="s">
        <v>1241</v>
      </c>
      <c r="L286" s="50"/>
      <c r="M286" s="4" t="s">
        <v>6</v>
      </c>
      <c r="N286" s="25"/>
      <c r="O286" s="25">
        <v>8.66</v>
      </c>
      <c r="P286" s="25"/>
      <c r="Q286" s="25"/>
      <c r="R286" s="25"/>
      <c r="S286" s="25"/>
      <c r="T286" s="25">
        <v>2.93</v>
      </c>
      <c r="U286" s="25">
        <v>11.59</v>
      </c>
      <c r="V286" s="30">
        <v>36.172839506172835</v>
      </c>
      <c r="W286" s="30">
        <v>106.91358024691358</v>
      </c>
      <c r="X286" s="31"/>
      <c r="Y286" s="31">
        <v>8.1999999999999993</v>
      </c>
      <c r="Z286" s="31"/>
      <c r="AA286" s="31"/>
      <c r="AB286" s="31"/>
      <c r="AC286" s="31">
        <v>2.56</v>
      </c>
      <c r="AD286" s="31"/>
      <c r="AE286" s="32">
        <v>101.23456790123457</v>
      </c>
      <c r="AF286" s="1"/>
      <c r="AG286" s="4"/>
      <c r="AH286" s="4"/>
      <c r="AI286" s="6">
        <v>81</v>
      </c>
      <c r="AJ286" s="38">
        <v>100</v>
      </c>
      <c r="AK286" s="3"/>
      <c r="AL286" s="1"/>
      <c r="AM286" s="37"/>
      <c r="AN286" s="37"/>
      <c r="AO286" s="37"/>
      <c r="AP286" s="37"/>
      <c r="AQ286" s="37"/>
      <c r="AR286" s="37"/>
      <c r="AS286" s="37"/>
      <c r="AT286" s="37"/>
      <c r="AU286" s="37"/>
      <c r="AV286" s="37"/>
      <c r="AW286" s="37"/>
      <c r="AX286" s="37"/>
      <c r="AY286" s="37"/>
      <c r="AZ286" s="37"/>
      <c r="BA286" s="37"/>
      <c r="BB286" s="37"/>
      <c r="BC286" s="37"/>
      <c r="BD286" s="37"/>
      <c r="BE286" s="37"/>
      <c r="BF286" s="37"/>
      <c r="BG286" s="42"/>
      <c r="BH286" s="42">
        <v>8.66</v>
      </c>
      <c r="BI286" s="42"/>
      <c r="BJ286" s="42"/>
      <c r="BK286" s="44">
        <v>8.66</v>
      </c>
      <c r="BL286" s="44">
        <v>2.93</v>
      </c>
      <c r="BM286" s="44">
        <f>+BK286+BL286</f>
        <v>11.59</v>
      </c>
      <c r="BN286" s="47">
        <v>106.91358024691358</v>
      </c>
      <c r="BO286" s="47">
        <v>36.172839506172842</v>
      </c>
      <c r="BP286" s="45">
        <v>143.08641975308643</v>
      </c>
      <c r="BQ286" s="9">
        <v>81</v>
      </c>
      <c r="BR286" s="4"/>
      <c r="BS286" s="4"/>
      <c r="BT286" s="4"/>
      <c r="BU286" s="4"/>
      <c r="BV286" s="4"/>
      <c r="BW286" s="4"/>
      <c r="BX286" s="4"/>
      <c r="BY286" s="9">
        <f>+INT(BK286*faktorji!$B$5)</f>
        <v>822</v>
      </c>
      <c r="BZ286" s="9">
        <f>+INT(BL286*faktorji!$B$4)</f>
        <v>483</v>
      </c>
      <c r="CA286" s="4"/>
      <c r="CB286" s="4">
        <v>0</v>
      </c>
      <c r="CC286" s="4">
        <v>0</v>
      </c>
      <c r="CD286" s="4">
        <v>0</v>
      </c>
      <c r="CE286" s="4">
        <v>0</v>
      </c>
      <c r="CF286" s="4">
        <v>1</v>
      </c>
      <c r="CG286" s="4">
        <v>1</v>
      </c>
      <c r="CH286" s="4">
        <v>1</v>
      </c>
      <c r="CI286" s="9">
        <f>+BQ286*(CB286*faktorji!$B$21+'MOL_tabela rezultatov'!CF90*faktorji!$B$23+'MOL_tabela rezultatov'!CH90*faktorji!$B$26)+faktorji!$B$27*CG286</f>
        <v>19336.5</v>
      </c>
      <c r="CJ286" s="9">
        <f>+(BZ286*CF286*faktorji!$B$18)+(CG286*faktorji!$B$17*('MOL_tabela rezultatov'!BY90+'MOL_tabela rezultatov'!BZ90))+('MOL_tabela rezultatov'!CH90*faktorji!$B$16*'MOL_tabela rezultatov'!BY90)+('MOL_tabela rezultatov'!CB90*faktorji!$B$12*'MOL_tabela rezultatov'!BY90)</f>
        <v>831.75</v>
      </c>
      <c r="CK286" s="66">
        <f>+CI286/CJ286</f>
        <v>23.247971145175836</v>
      </c>
      <c r="CL286" s="3" t="str">
        <f>CONCATENATE(IF(CB286&gt;0,"kotlovnica/toplotna postaja, ",""),IF(CF286&gt;0,"razsvetljava, ",""),IF(CG286&gt;0,"energetsko upravljanje, ",""),IF(CH286&gt;0,"manjši investicijski in organizacijski ukrepi, ",""))</f>
        <v xml:space="preserve">razsvetljava, energetsko upravljanje, manjši investicijski in organizacijski ukrepi, </v>
      </c>
      <c r="CM286" s="9">
        <f>+CJ286*0.9</f>
        <v>748.57500000000005</v>
      </c>
      <c r="CN286" s="9">
        <f>+CJ286*0.9</f>
        <v>748.57500000000005</v>
      </c>
      <c r="CO286" s="9">
        <f>+CJ286*0.9</f>
        <v>748.57500000000005</v>
      </c>
      <c r="CP286" s="69">
        <f>+IF(CI286-SUM(CM286:CO286)&lt;0,0,CI286-SUM(CM286:CO286))</f>
        <v>17090.775000000001</v>
      </c>
      <c r="CQ286" s="9">
        <f>+(BQ286*CE286*faktorji!$B$24)+(BQ286^0.5*CC286*4*4*0.66*faktorji!$B$22)+(BQ286^0.5*CD286*4*4*0.33*faktorji!$B$25)</f>
        <v>0</v>
      </c>
      <c r="CR286" s="3" t="str">
        <f t="shared" si="221"/>
        <v/>
      </c>
      <c r="CS286" s="9">
        <f>+BQ286*('MOL_tabela rezultatov'!CH286*faktorji!$B$26)+faktorji!$B$27*CG286</f>
        <v>18121.5</v>
      </c>
      <c r="CT286" s="3" t="str">
        <f t="shared" si="219"/>
        <v xml:space="preserve">energetsko upravljanje, manjši investicijski in organizacijski ukrepi, </v>
      </c>
      <c r="CU286" s="9">
        <f t="shared" si="251"/>
        <v>4530.375</v>
      </c>
      <c r="CV286" s="9">
        <f t="shared" ref="CV286:CX286" si="267">+CU286</f>
        <v>4530.375</v>
      </c>
      <c r="CW286" s="9">
        <f t="shared" si="267"/>
        <v>4530.375</v>
      </c>
      <c r="CX286" s="69">
        <f t="shared" si="267"/>
        <v>4530.375</v>
      </c>
    </row>
    <row r="287" spans="1:102" s="10" customFormat="1" ht="18" hidden="1" customHeight="1">
      <c r="A287" s="54" t="s">
        <v>570</v>
      </c>
      <c r="B287" s="3" t="s">
        <v>571</v>
      </c>
      <c r="C287" s="56"/>
      <c r="D287" s="56"/>
      <c r="E287" s="51" t="s">
        <v>1175</v>
      </c>
      <c r="F287" s="51"/>
      <c r="G287" s="51">
        <v>2</v>
      </c>
      <c r="H287" s="51" t="s">
        <v>1251</v>
      </c>
      <c r="I287" s="51"/>
      <c r="J287" s="51">
        <v>2</v>
      </c>
      <c r="K287" s="37" t="s">
        <v>1242</v>
      </c>
      <c r="L287" s="50"/>
      <c r="M287" s="4" t="s">
        <v>6</v>
      </c>
      <c r="N287" s="25"/>
      <c r="O287" s="25"/>
      <c r="P287" s="25"/>
      <c r="Q287" s="25"/>
      <c r="R287" s="25"/>
      <c r="S287" s="25">
        <v>608.6253639274039</v>
      </c>
      <c r="T287" s="25">
        <v>106.46131275066753</v>
      </c>
      <c r="U287" s="25">
        <v>106.46131275066753</v>
      </c>
      <c r="V287" s="30">
        <v>24.718205885922341</v>
      </c>
      <c r="W287" s="30">
        <v>141.31074156661342</v>
      </c>
      <c r="X287" s="31"/>
      <c r="Y287" s="31"/>
      <c r="Z287" s="31"/>
      <c r="AA287" s="31"/>
      <c r="AB287" s="31"/>
      <c r="AC287" s="31"/>
      <c r="AD287" s="31"/>
      <c r="AE287" s="32"/>
      <c r="AF287" s="16"/>
      <c r="AG287" s="3"/>
      <c r="AH287" s="4"/>
      <c r="AI287" s="6">
        <v>4307</v>
      </c>
      <c r="AJ287" s="38">
        <v>100</v>
      </c>
      <c r="AK287" s="3"/>
      <c r="AL287" s="1"/>
      <c r="AM287" s="37"/>
      <c r="AN287" s="37"/>
      <c r="AO287" s="37"/>
      <c r="AP287" s="37"/>
      <c r="AQ287" s="37"/>
      <c r="AR287" s="37"/>
      <c r="AS287" s="37"/>
      <c r="AT287" s="37"/>
      <c r="AU287" s="37"/>
      <c r="AV287" s="37"/>
      <c r="AW287" s="37"/>
      <c r="AX287" s="37"/>
      <c r="AY287" s="37"/>
      <c r="AZ287" s="37"/>
      <c r="BA287" s="37"/>
      <c r="BB287" s="37"/>
      <c r="BC287" s="37"/>
      <c r="BD287" s="37"/>
      <c r="BE287" s="37"/>
      <c r="BF287" s="37"/>
      <c r="BG287" s="42"/>
      <c r="BH287" s="42">
        <v>371.4</v>
      </c>
      <c r="BI287" s="42"/>
      <c r="BJ287" s="42"/>
      <c r="BK287" s="44">
        <v>371.4</v>
      </c>
      <c r="BL287" s="44">
        <v>67.5</v>
      </c>
      <c r="BM287" s="44">
        <f>+BK287+BL287</f>
        <v>438.9</v>
      </c>
      <c r="BN287" s="47">
        <v>123.8</v>
      </c>
      <c r="BO287" s="47">
        <v>22.5</v>
      </c>
      <c r="BP287" s="45">
        <v>146.30000000000001</v>
      </c>
      <c r="BQ287" s="9">
        <v>3000</v>
      </c>
      <c r="BR287" s="4"/>
      <c r="BS287" s="4">
        <v>1976</v>
      </c>
      <c r="BT287" s="4" t="s">
        <v>872</v>
      </c>
      <c r="BU287" s="4"/>
      <c r="BV287" s="4" t="s">
        <v>898</v>
      </c>
      <c r="BW287" s="4"/>
      <c r="BX287" s="4"/>
      <c r="BY287" s="9">
        <f>+INT(BK287*faktorji!$B$5)</f>
        <v>35283</v>
      </c>
      <c r="BZ287" s="9">
        <f>+INT(BL287*faktorji!$B$4)</f>
        <v>11137</v>
      </c>
      <c r="CA287" s="3" t="s">
        <v>1303</v>
      </c>
      <c r="CB287" s="4">
        <v>1</v>
      </c>
      <c r="CC287" s="4">
        <v>0</v>
      </c>
      <c r="CD287" s="4">
        <v>0</v>
      </c>
      <c r="CE287" s="4">
        <v>1</v>
      </c>
      <c r="CF287" s="4">
        <v>1</v>
      </c>
      <c r="CG287" s="4">
        <v>1</v>
      </c>
      <c r="CH287" s="4">
        <v>1</v>
      </c>
      <c r="CI287" s="9">
        <f>+BQ287*(CB287*faktorji!$B$21+'MOL_tabela rezultatov'!CF214*faktorji!$B$23+'MOL_tabela rezultatov'!CH214*faktorji!$B$26)+faktorji!$B$27*CG287</f>
        <v>112500</v>
      </c>
      <c r="CJ287" s="9">
        <f>+(BZ287*CF287*faktorji!$B$18)+(CG287*faktorji!$B$17*('MOL_tabela rezultatov'!BY214+'MOL_tabela rezultatov'!BZ214))+('MOL_tabela rezultatov'!CH214*faktorji!$B$16*'MOL_tabela rezultatov'!BY214)+('MOL_tabela rezultatov'!CB214*faktorji!$B$12*'MOL_tabela rezultatov'!BY214)</f>
        <v>3918.55</v>
      </c>
      <c r="CK287" s="66">
        <f>+CI287/CJ287</f>
        <v>28.70959921399497</v>
      </c>
      <c r="CL287" s="3" t="str">
        <f>CONCATENATE(IF(CB287&gt;0,"kotlovnica/toplotna postaja, ",""),IF(CF287&gt;0,"razsvetljava, ",""),IF(CG287&gt;0,"energetsko upravljanje, ",""),IF(CH287&gt;0,"manjši investicijski in organizacijski ukrepi, ",""))</f>
        <v xml:space="preserve">kotlovnica/toplotna postaja, razsvetljava, energetsko upravljanje, manjši investicijski in organizacijski ukrepi, </v>
      </c>
      <c r="CM287" s="9">
        <f>+CJ287*0.9</f>
        <v>3526.6950000000002</v>
      </c>
      <c r="CN287" s="9">
        <f>+CJ287*0.9</f>
        <v>3526.6950000000002</v>
      </c>
      <c r="CO287" s="9">
        <f>+CJ287*0.9</f>
        <v>3526.6950000000002</v>
      </c>
      <c r="CP287" s="69">
        <f>+IF(CI287-SUM(CM287:CO287)&lt;0,0,CI287-SUM(CM287:CO287))</f>
        <v>101919.91499999999</v>
      </c>
      <c r="CQ287" s="9">
        <f>+(BQ287*CE287*faktorji!$B$24)+(BQ287^0.5*CC287*4*4*0.66*faktorji!$B$22)+(BQ287^0.5*CD287*4*4*0.33*faktorji!$B$25)</f>
        <v>60000</v>
      </c>
      <c r="CR287" s="3" t="str">
        <f t="shared" si="221"/>
        <v xml:space="preserve">izolacija podstrešja, </v>
      </c>
      <c r="CS287" s="9">
        <f>+BQ287*('MOL_tabela rezultatov'!CH287*faktorji!$B$26)+faktorji!$B$27*CG287</f>
        <v>22500</v>
      </c>
      <c r="CT287" s="3" t="str">
        <f t="shared" si="219"/>
        <v xml:space="preserve">energetsko upravljanje, manjši investicijski in organizacijski ukrepi, </v>
      </c>
      <c r="CU287" s="9">
        <f t="shared" si="251"/>
        <v>5625</v>
      </c>
      <c r="CV287" s="9">
        <f t="shared" ref="CV287:CX287" si="268">+CU287</f>
        <v>5625</v>
      </c>
      <c r="CW287" s="9">
        <f t="shared" si="268"/>
        <v>5625</v>
      </c>
      <c r="CX287" s="69">
        <f t="shared" si="268"/>
        <v>5625</v>
      </c>
    </row>
    <row r="288" spans="1:102" s="10" customFormat="1" ht="18" hidden="1" customHeight="1">
      <c r="A288" s="54" t="s">
        <v>153</v>
      </c>
      <c r="B288" s="3" t="s">
        <v>154</v>
      </c>
      <c r="C288" s="56"/>
      <c r="D288" s="56"/>
      <c r="E288" s="51" t="s">
        <v>1169</v>
      </c>
      <c r="F288" s="51"/>
      <c r="G288" s="51">
        <v>4</v>
      </c>
      <c r="H288" s="51"/>
      <c r="I288" s="51"/>
      <c r="J288" s="51">
        <v>6</v>
      </c>
      <c r="K288" s="37" t="s">
        <v>1242</v>
      </c>
      <c r="L288" s="50"/>
      <c r="M288" s="4" t="s">
        <v>6</v>
      </c>
      <c r="N288" s="25"/>
      <c r="O288" s="25">
        <v>120.07175175438597</v>
      </c>
      <c r="P288" s="25"/>
      <c r="Q288" s="25"/>
      <c r="R288" s="25"/>
      <c r="S288" s="25"/>
      <c r="T288" s="25">
        <v>47.348551754385966</v>
      </c>
      <c r="U288" s="25">
        <v>167.42030350877195</v>
      </c>
      <c r="V288" s="30">
        <v>45.835964912280701</v>
      </c>
      <c r="W288" s="30">
        <v>116.23596491228071</v>
      </c>
      <c r="X288" s="31"/>
      <c r="Y288" s="31"/>
      <c r="Z288" s="31"/>
      <c r="AA288" s="31"/>
      <c r="AB288" s="31"/>
      <c r="AC288" s="31"/>
      <c r="AD288" s="31"/>
      <c r="AE288" s="32"/>
      <c r="AF288" s="1" t="s">
        <v>1234</v>
      </c>
      <c r="AG288" s="4"/>
      <c r="AH288" s="4"/>
      <c r="AI288" s="6">
        <v>1033</v>
      </c>
      <c r="AJ288" s="38"/>
      <c r="AK288" s="3"/>
      <c r="AL288" s="1" t="s">
        <v>156</v>
      </c>
      <c r="AM288" s="37"/>
      <c r="AN288" s="37"/>
      <c r="AO288" s="37"/>
      <c r="AP288" s="37"/>
      <c r="AQ288" s="37"/>
      <c r="AR288" s="37"/>
      <c r="AS288" s="37"/>
      <c r="AT288" s="37"/>
      <c r="AU288" s="37"/>
      <c r="AV288" s="37"/>
      <c r="AW288" s="37"/>
      <c r="AX288" s="37"/>
      <c r="AY288" s="37"/>
      <c r="AZ288" s="37"/>
      <c r="BA288" s="37"/>
      <c r="BB288" s="37"/>
      <c r="BC288" s="37"/>
      <c r="BD288" s="37"/>
      <c r="BE288" s="37"/>
      <c r="BF288" s="37"/>
      <c r="BG288" s="42">
        <v>73</v>
      </c>
      <c r="BH288" s="42">
        <v>60</v>
      </c>
      <c r="BI288" s="42"/>
      <c r="BJ288" s="42"/>
      <c r="BK288" s="44">
        <v>133</v>
      </c>
      <c r="BL288" s="44">
        <v>53.8</v>
      </c>
      <c r="BM288" s="44">
        <f>+BK288+BL288</f>
        <v>186.8</v>
      </c>
      <c r="BN288" s="47">
        <v>159.28143712574851</v>
      </c>
      <c r="BO288" s="47">
        <v>64.431137724550894</v>
      </c>
      <c r="BP288" s="45">
        <v>223.7125748502994</v>
      </c>
      <c r="BQ288" s="9">
        <v>835</v>
      </c>
      <c r="BR288" s="4">
        <v>157</v>
      </c>
      <c r="BS288" s="4">
        <v>2012</v>
      </c>
      <c r="BT288" s="4" t="s">
        <v>1109</v>
      </c>
      <c r="BU288" s="4" t="s">
        <v>155</v>
      </c>
      <c r="BV288" s="4" t="s">
        <v>871</v>
      </c>
      <c r="BW288" s="4" t="s">
        <v>874</v>
      </c>
      <c r="BX288" s="4" t="s">
        <v>851</v>
      </c>
      <c r="BY288" s="9">
        <f>+INT(BK288*faktorji!$B$5)</f>
        <v>12635</v>
      </c>
      <c r="BZ288" s="9">
        <f>+INT(BL288*faktorji!$B$4)</f>
        <v>8877</v>
      </c>
      <c r="CA288" s="4"/>
      <c r="CB288" s="4">
        <v>0</v>
      </c>
      <c r="CC288" s="4">
        <v>1</v>
      </c>
      <c r="CD288" s="4">
        <v>0</v>
      </c>
      <c r="CE288" s="4">
        <v>0</v>
      </c>
      <c r="CF288" s="4">
        <v>0</v>
      </c>
      <c r="CG288" s="4">
        <v>1</v>
      </c>
      <c r="CH288" s="4">
        <v>1</v>
      </c>
      <c r="CI288" s="9">
        <f>+BQ288*(CB288*faktorji!$B$21+'MOL_tabela rezultatov'!CF54*faktorji!$B$23+'MOL_tabela rezultatov'!CH54*faktorji!$B$26)+faktorji!$B$27*CG288</f>
        <v>19252.5</v>
      </c>
      <c r="CJ288" s="9">
        <f>+(BZ288*CF288*faktorji!$B$18)+(CG288*faktorji!$B$17*('MOL_tabela rezultatov'!BY54+'MOL_tabela rezultatov'!BZ54))+('MOL_tabela rezultatov'!CH54*faktorji!$B$16*'MOL_tabela rezultatov'!BY54)+('MOL_tabela rezultatov'!CB54*faktorji!$B$12*'MOL_tabela rezultatov'!BY54)</f>
        <v>4360.3</v>
      </c>
      <c r="CK288" s="66">
        <f>+CI288/CJ288</f>
        <v>4.4154071967525166</v>
      </c>
      <c r="CL288" s="3" t="str">
        <f>CONCATENATE(IF(CB288&gt;0,"kotlovnica/toplotna postaja, ",""),IF(CF288&gt;0,"razsvetljava, ",""),IF(CG288&gt;0,"energetsko upravljanje, ",""),IF(CH288&gt;0,"manjši investicijski in organizacijski ukrepi, ",""))</f>
        <v xml:space="preserve">energetsko upravljanje, manjši investicijski in organizacijski ukrepi, </v>
      </c>
      <c r="CM288" s="9">
        <f>+CJ288*0.9</f>
        <v>3924.2700000000004</v>
      </c>
      <c r="CN288" s="9">
        <f>+CJ288*0.9</f>
        <v>3924.2700000000004</v>
      </c>
      <c r="CO288" s="9">
        <f>+CJ288*0.9</f>
        <v>3924.2700000000004</v>
      </c>
      <c r="CP288" s="69">
        <f>+IF(CI288-SUM(CM288:CO288)&lt;0,0,CI288-SUM(CM288:CO288))</f>
        <v>7479.6899999999987</v>
      </c>
      <c r="CQ288" s="9">
        <f>+(BQ288*CE288*faktorji!$B$24)+(BQ288^0.5*CC288*4*4*0.66*faktorji!$B$22)+(BQ288^0.5*CD288*4*4*0.33*faktorji!$B$25)</f>
        <v>21360.194156420959</v>
      </c>
      <c r="CR288" s="3" t="str">
        <f t="shared" si="221"/>
        <v xml:space="preserve">izolacija ovoja, </v>
      </c>
      <c r="CS288" s="9">
        <f>+BQ288*('MOL_tabela rezultatov'!CH288*faktorji!$B$26)+faktorji!$B$27*CG288</f>
        <v>19252.5</v>
      </c>
      <c r="CT288" s="3" t="str">
        <f t="shared" si="219"/>
        <v xml:space="preserve">energetsko upravljanje, manjši investicijski in organizacijski ukrepi, </v>
      </c>
      <c r="CU288" s="9">
        <f t="shared" si="251"/>
        <v>4813.125</v>
      </c>
      <c r="CV288" s="9">
        <f t="shared" ref="CV288:CX288" si="269">+CU288</f>
        <v>4813.125</v>
      </c>
      <c r="CW288" s="9">
        <f t="shared" si="269"/>
        <v>4813.125</v>
      </c>
      <c r="CX288" s="69">
        <f t="shared" si="269"/>
        <v>4813.125</v>
      </c>
    </row>
    <row r="289" spans="1:102" s="10" customFormat="1" ht="18" customHeight="1">
      <c r="A289" s="117" t="s">
        <v>1393</v>
      </c>
      <c r="B289" s="117" t="s">
        <v>114</v>
      </c>
      <c r="C289" s="57" t="s">
        <v>1383</v>
      </c>
      <c r="D289" s="57" t="s">
        <v>1384</v>
      </c>
      <c r="E289" s="51" t="s">
        <v>1167</v>
      </c>
      <c r="F289" s="51"/>
      <c r="G289" s="51">
        <v>2</v>
      </c>
      <c r="H289" s="51"/>
      <c r="I289" s="51"/>
      <c r="J289" s="51">
        <v>4</v>
      </c>
      <c r="K289" s="37" t="s">
        <v>1243</v>
      </c>
      <c r="L289" s="50"/>
      <c r="M289" s="4" t="s">
        <v>5</v>
      </c>
      <c r="N289" s="25">
        <v>858</v>
      </c>
      <c r="O289" s="25"/>
      <c r="P289" s="25"/>
      <c r="Q289" s="25"/>
      <c r="R289" s="25"/>
      <c r="S289" s="25"/>
      <c r="T289" s="25">
        <v>348.02</v>
      </c>
      <c r="U289" s="25">
        <v>1206.02</v>
      </c>
      <c r="V289" s="30">
        <v>61.552882914750619</v>
      </c>
      <c r="W289" s="30">
        <v>151.75097276264592</v>
      </c>
      <c r="X289" s="31">
        <v>716</v>
      </c>
      <c r="Y289" s="31"/>
      <c r="Z289" s="31"/>
      <c r="AA289" s="31"/>
      <c r="AB289" s="31"/>
      <c r="AC289" s="31">
        <v>341.2</v>
      </c>
      <c r="AD289" s="31"/>
      <c r="AE289" s="32">
        <v>126.6360099044924</v>
      </c>
      <c r="AF289" s="1" t="s">
        <v>1231</v>
      </c>
      <c r="AG289" s="4"/>
      <c r="AH289" s="11" t="s">
        <v>115</v>
      </c>
      <c r="AI289" s="6">
        <v>5654</v>
      </c>
      <c r="AJ289" s="38">
        <v>100</v>
      </c>
      <c r="AK289" s="34" t="s">
        <v>92</v>
      </c>
      <c r="AL289" s="1" t="s">
        <v>95</v>
      </c>
      <c r="AM289" s="37">
        <f>718.3+42.1</f>
        <v>760.4</v>
      </c>
      <c r="AN289" s="37">
        <f>888.2+62.6</f>
        <v>950.80000000000007</v>
      </c>
      <c r="AO289" s="37">
        <f>761.8+90.3</f>
        <v>852.09999999999991</v>
      </c>
      <c r="AP289" s="37">
        <f>746.4+50.3</f>
        <v>796.69999999999993</v>
      </c>
      <c r="AQ289" s="37"/>
      <c r="AR289" s="37"/>
      <c r="AS289" s="37"/>
      <c r="AT289" s="37"/>
      <c r="AU289" s="37"/>
      <c r="AV289" s="37"/>
      <c r="AW289" s="37"/>
      <c r="AX289" s="37"/>
      <c r="AY289" s="37"/>
      <c r="AZ289" s="37"/>
      <c r="BA289" s="37"/>
      <c r="BB289" s="37"/>
      <c r="BC289" s="37">
        <v>401.5</v>
      </c>
      <c r="BD289" s="37">
        <v>382.5</v>
      </c>
      <c r="BE289" s="37">
        <v>427.57</v>
      </c>
      <c r="BF289" s="37">
        <v>448.4</v>
      </c>
      <c r="BG289" s="42">
        <v>840</v>
      </c>
      <c r="BH289" s="42"/>
      <c r="BI289" s="42"/>
      <c r="BJ289" s="42"/>
      <c r="BK289" s="44">
        <v>840</v>
      </c>
      <c r="BL289" s="44">
        <v>414.99249999999995</v>
      </c>
      <c r="BM289" s="44">
        <f>+BK289+BL289</f>
        <v>1254.9924999999998</v>
      </c>
      <c r="BN289" s="47">
        <v>148.56738592147153</v>
      </c>
      <c r="BO289" s="47">
        <v>73.398036788114595</v>
      </c>
      <c r="BP289" s="45">
        <v>221.96542270958608</v>
      </c>
      <c r="BQ289" s="9">
        <v>5654</v>
      </c>
      <c r="BR289" s="1" t="s">
        <v>1099</v>
      </c>
      <c r="BS289" s="1" t="s">
        <v>1100</v>
      </c>
      <c r="BT289" s="1" t="s">
        <v>872</v>
      </c>
      <c r="BU289" s="4" t="s">
        <v>1101</v>
      </c>
      <c r="BV289" s="4" t="s">
        <v>1102</v>
      </c>
      <c r="BW289" s="1" t="s">
        <v>1103</v>
      </c>
      <c r="BX289" s="4"/>
      <c r="BY289" s="9">
        <f>+INT(BK289*faktorji!$B$3)</f>
        <v>54600</v>
      </c>
      <c r="BZ289" s="9">
        <f>+INT(BL289*faktorji!$B$4)</f>
        <v>68473</v>
      </c>
      <c r="CA289" s="72" t="s">
        <v>1298</v>
      </c>
      <c r="CB289" s="4">
        <v>0</v>
      </c>
      <c r="CC289" s="4">
        <v>1</v>
      </c>
      <c r="CD289" s="4">
        <v>0</v>
      </c>
      <c r="CE289" s="4">
        <v>0.5</v>
      </c>
      <c r="CF289" s="4">
        <v>1</v>
      </c>
      <c r="CG289" s="4">
        <v>1</v>
      </c>
      <c r="CH289" s="4">
        <v>1</v>
      </c>
      <c r="CI289" s="9">
        <f>+BQ289*(CB289*faktorji!$B$21+'MOL_tabela rezultatov'!CF40*faktorji!$B$23+'MOL_tabela rezultatov'!CH40*faktorji!$B$26)+faktorji!$B$27*CG289</f>
        <v>18000</v>
      </c>
      <c r="CJ289" s="9">
        <f>+(BZ289*CF289*faktorji!$B$18)+(CG289*faktorji!$B$17*('MOL_tabela rezultatov'!BY40+'MOL_tabela rezultatov'!BZ40))+('MOL_tabela rezultatov'!CH40*faktorji!$B$16*'MOL_tabela rezultatov'!BY40)+('MOL_tabela rezultatov'!CB40*faktorji!$B$12*'MOL_tabela rezultatov'!BY40)</f>
        <v>13640.449999999999</v>
      </c>
      <c r="CK289" s="66">
        <f>+CI289/CJ289</f>
        <v>1.3196045585006362</v>
      </c>
      <c r="CL289" s="3" t="str">
        <f>CONCATENATE(IF(CB289&gt;0,"kotlovnica/toplotna postaja, ",""),IF(CF289&gt;0,"razsvetljava, ",""),IF(CG289&gt;0,"energetsko upravljanje, ",""),IF(CH289&gt;0,"manjši investicijski in organizacijski ukrepi, ",""))</f>
        <v xml:space="preserve">razsvetljava, energetsko upravljanje, manjši investicijski in organizacijski ukrepi, </v>
      </c>
      <c r="CM289" s="9">
        <f>+CJ289*0.9</f>
        <v>12276.404999999999</v>
      </c>
      <c r="CN289" s="9">
        <f>+CJ289*0.9</f>
        <v>12276.404999999999</v>
      </c>
      <c r="CO289" s="9">
        <f>+CJ289*0.9</f>
        <v>12276.404999999999</v>
      </c>
      <c r="CP289" s="69">
        <f>+IF(CI289-SUM(CM289:CO289)&lt;0,0,CI289-SUM(CM289:CO289))</f>
        <v>0</v>
      </c>
      <c r="CQ289" s="9">
        <f>+(BQ289*CE289*faktorji!$B$24)+(BQ289^0.5*CC289*4*4*0.66*faktorji!$B$22)+(BQ289^0.5*CD289*4*4*0.33*faktorji!$B$25)</f>
        <v>112122.72827560734</v>
      </c>
      <c r="CR289" s="3" t="str">
        <f t="shared" si="221"/>
        <v xml:space="preserve">izolacija ovoja, izolacija podstrešja, </v>
      </c>
      <c r="CS289" s="9">
        <f>+BQ289*('MOL_tabela rezultatov'!CH289*faktorji!$B$26)+faktorji!$B$27*CG289</f>
        <v>26481</v>
      </c>
      <c r="CT289" s="3" t="str">
        <f t="shared" si="219"/>
        <v xml:space="preserve">energetsko upravljanje, manjši investicijski in organizacijski ukrepi, </v>
      </c>
      <c r="CU289" s="9">
        <f t="shared" si="251"/>
        <v>6620.25</v>
      </c>
      <c r="CV289" s="9">
        <f t="shared" ref="CV289:CX289" si="270">+CU289</f>
        <v>6620.25</v>
      </c>
      <c r="CW289" s="9">
        <f t="shared" si="270"/>
        <v>6620.25</v>
      </c>
      <c r="CX289" s="69">
        <f t="shared" si="270"/>
        <v>6620.25</v>
      </c>
    </row>
    <row r="290" spans="1:102" s="10" customFormat="1" ht="18" hidden="1" customHeight="1">
      <c r="A290" s="54" t="s">
        <v>76</v>
      </c>
      <c r="B290" s="3" t="s">
        <v>77</v>
      </c>
      <c r="C290" s="56"/>
      <c r="D290" s="56"/>
      <c r="E290" s="51" t="s">
        <v>1168</v>
      </c>
      <c r="F290" s="51" t="s">
        <v>1255</v>
      </c>
      <c r="G290" s="51">
        <v>2</v>
      </c>
      <c r="H290" s="51"/>
      <c r="I290" s="51"/>
      <c r="J290" s="51">
        <v>7</v>
      </c>
      <c r="K290" s="37" t="s">
        <v>1244</v>
      </c>
      <c r="L290" s="50"/>
      <c r="M290" s="4" t="s">
        <v>5</v>
      </c>
      <c r="N290" s="25">
        <v>23.096315204879208</v>
      </c>
      <c r="O290" s="25"/>
      <c r="P290" s="25"/>
      <c r="Q290" s="25"/>
      <c r="R290" s="25"/>
      <c r="S290" s="25"/>
      <c r="T290" s="25">
        <v>13.376514442026297</v>
      </c>
      <c r="U290" s="25">
        <v>36.472829646905502</v>
      </c>
      <c r="V290" s="30">
        <v>97.638791547637197</v>
      </c>
      <c r="W290" s="30">
        <v>168.58624237138108</v>
      </c>
      <c r="X290" s="31"/>
      <c r="Y290" s="31"/>
      <c r="Z290" s="31"/>
      <c r="AA290" s="31"/>
      <c r="AB290" s="31"/>
      <c r="AC290" s="31"/>
      <c r="AD290" s="31"/>
      <c r="AE290" s="32">
        <v>0</v>
      </c>
      <c r="AF290" s="1"/>
      <c r="AG290" s="4"/>
      <c r="AH290" s="4"/>
      <c r="AI290" s="6">
        <v>137</v>
      </c>
      <c r="AJ290" s="38">
        <v>100</v>
      </c>
      <c r="AK290" s="3"/>
      <c r="AL290" s="1"/>
      <c r="AM290" s="37"/>
      <c r="AN290" s="37"/>
      <c r="AO290" s="37"/>
      <c r="AP290" s="37"/>
      <c r="AQ290" s="37"/>
      <c r="AR290" s="37"/>
      <c r="AS290" s="37"/>
      <c r="AT290" s="37"/>
      <c r="AU290" s="37"/>
      <c r="AV290" s="37"/>
      <c r="AW290" s="37"/>
      <c r="AX290" s="37"/>
      <c r="AY290" s="37"/>
      <c r="AZ290" s="37"/>
      <c r="BA290" s="37"/>
      <c r="BB290" s="37"/>
      <c r="BC290" s="37"/>
      <c r="BD290" s="37"/>
      <c r="BE290" s="37"/>
      <c r="BF290" s="37"/>
      <c r="BG290" s="42">
        <v>13.9</v>
      </c>
      <c r="BH290" s="42"/>
      <c r="BI290" s="42"/>
      <c r="BJ290" s="42"/>
      <c r="BK290" s="44">
        <v>13.9</v>
      </c>
      <c r="BL290" s="44">
        <v>9.4666999999999994</v>
      </c>
      <c r="BM290" s="44">
        <f>+BK290+BL290</f>
        <v>23.366700000000002</v>
      </c>
      <c r="BN290" s="47">
        <v>101.45985401459853</v>
      </c>
      <c r="BO290" s="47">
        <v>69.099999999999994</v>
      </c>
      <c r="BP290" s="45">
        <v>170.55985401459856</v>
      </c>
      <c r="BQ290" s="9">
        <v>137</v>
      </c>
      <c r="BR290" s="4"/>
      <c r="BS290" s="4"/>
      <c r="BT290" s="4"/>
      <c r="BU290" s="4"/>
      <c r="BV290" s="4"/>
      <c r="BW290" s="4"/>
      <c r="BX290" s="4"/>
      <c r="BY290" s="9">
        <f>+INT(BK290*faktorji!$B$3)</f>
        <v>903</v>
      </c>
      <c r="BZ290" s="9">
        <f>+INT(BL290*faktorji!$B$4)</f>
        <v>1562</v>
      </c>
      <c r="CA290" s="3" t="s">
        <v>1313</v>
      </c>
      <c r="CB290" s="4">
        <v>0</v>
      </c>
      <c r="CC290" s="4">
        <v>0</v>
      </c>
      <c r="CD290" s="4">
        <v>0</v>
      </c>
      <c r="CE290" s="4">
        <v>0</v>
      </c>
      <c r="CF290" s="4">
        <v>0</v>
      </c>
      <c r="CG290" s="4">
        <v>1</v>
      </c>
      <c r="CH290" s="4">
        <v>1</v>
      </c>
      <c r="CI290" s="9">
        <f>+BQ290*(CB290*faktorji!$B$21+'MOL_tabela rezultatov'!CF24*faktorji!$B$23+'MOL_tabela rezultatov'!CH24*faktorji!$B$26)+faktorji!$B$27*CG290</f>
        <v>18205.5</v>
      </c>
      <c r="CJ290" s="9">
        <f>+(BZ290*CF290*faktorji!$B$18)+(CG290*faktorji!$B$17*('MOL_tabela rezultatov'!BY24+'MOL_tabela rezultatov'!BZ24))+('MOL_tabela rezultatov'!CH24*faktorji!$B$16*'MOL_tabela rezultatov'!BY24)+('MOL_tabela rezultatov'!CB24*faktorji!$B$12*'MOL_tabela rezultatov'!BY24)</f>
        <v>642.5</v>
      </c>
      <c r="CK290" s="66">
        <f>+CI290/CJ290</f>
        <v>28.335408560311283</v>
      </c>
      <c r="CL290" s="3" t="str">
        <f>CONCATENATE(IF(CB290&gt;0,"kotlovnica/toplotna postaja, ",""),IF(CF290&gt;0,"razsvetljava, ",""),IF(CG290&gt;0,"energetsko upravljanje, ",""),IF(CH290&gt;0,"manjši investicijski in organizacijski ukrepi, ",""))</f>
        <v xml:space="preserve">energetsko upravljanje, manjši investicijski in organizacijski ukrepi, </v>
      </c>
      <c r="CM290" s="9">
        <f>+CJ290*0.9</f>
        <v>578.25</v>
      </c>
      <c r="CN290" s="9">
        <f>+CJ290*0.9</f>
        <v>578.25</v>
      </c>
      <c r="CO290" s="9">
        <f>+CJ290*0.9</f>
        <v>578.25</v>
      </c>
      <c r="CP290" s="69">
        <f>+IF(CI290-SUM(CM290:CO290)&lt;0,0,CI290-SUM(CM290:CO290))</f>
        <v>16470.75</v>
      </c>
      <c r="CQ290" s="9">
        <f>+(BQ290*CE290*faktorji!$B$24)+(BQ290^0.5*CC290*4*4*0.66*faktorji!$B$22)+(BQ290^0.5*CD290*4*4*0.33*faktorji!$B$25)</f>
        <v>0</v>
      </c>
      <c r="CR290" s="3" t="str">
        <f t="shared" si="221"/>
        <v/>
      </c>
      <c r="CS290" s="9">
        <f>+BQ290*('MOL_tabela rezultatov'!CH290*faktorji!$B$26)+faktorji!$B$27*CG290</f>
        <v>18205.5</v>
      </c>
      <c r="CT290" s="3" t="str">
        <f t="shared" si="219"/>
        <v xml:space="preserve">energetsko upravljanje, manjši investicijski in organizacijski ukrepi, </v>
      </c>
      <c r="CU290" s="9">
        <f t="shared" si="251"/>
        <v>4551.375</v>
      </c>
      <c r="CV290" s="9">
        <f t="shared" ref="CV290:CX290" si="271">+CU290</f>
        <v>4551.375</v>
      </c>
      <c r="CW290" s="9">
        <f t="shared" si="271"/>
        <v>4551.375</v>
      </c>
      <c r="CX290" s="69">
        <f t="shared" si="271"/>
        <v>4551.375</v>
      </c>
    </row>
    <row r="291" spans="1:102" s="10" customFormat="1" ht="18" hidden="1" customHeight="1">
      <c r="A291" s="53" t="s">
        <v>820</v>
      </c>
      <c r="B291" s="2" t="s">
        <v>821</v>
      </c>
      <c r="C291" s="57"/>
      <c r="D291" s="57"/>
      <c r="E291" s="51" t="s">
        <v>1176</v>
      </c>
      <c r="F291" s="51"/>
      <c r="G291" s="51">
        <v>2</v>
      </c>
      <c r="H291" s="51"/>
      <c r="I291" s="51"/>
      <c r="J291" s="51">
        <v>2</v>
      </c>
      <c r="K291" s="37" t="s">
        <v>1243</v>
      </c>
      <c r="L291" s="50"/>
      <c r="M291" s="4" t="s">
        <v>5</v>
      </c>
      <c r="N291" s="28">
        <v>86</v>
      </c>
      <c r="O291" s="25"/>
      <c r="P291" s="25"/>
      <c r="Q291" s="25"/>
      <c r="R291" s="25"/>
      <c r="S291" s="25"/>
      <c r="T291" s="25">
        <v>9.1609999999999996</v>
      </c>
      <c r="U291" s="25">
        <v>95.161000000000001</v>
      </c>
      <c r="V291" s="30">
        <v>22.074698795180723</v>
      </c>
      <c r="W291" s="30">
        <v>207.22891566265059</v>
      </c>
      <c r="X291" s="31"/>
      <c r="Y291" s="31"/>
      <c r="Z291" s="31"/>
      <c r="AA291" s="31"/>
      <c r="AB291" s="31"/>
      <c r="AC291" s="31"/>
      <c r="AD291" s="31"/>
      <c r="AE291" s="32"/>
      <c r="AF291" s="16" t="s">
        <v>431</v>
      </c>
      <c r="AG291" s="3" t="s">
        <v>472</v>
      </c>
      <c r="AH291" s="4"/>
      <c r="AI291" s="6">
        <v>415</v>
      </c>
      <c r="AJ291" s="38">
        <v>100</v>
      </c>
      <c r="AK291" s="3"/>
      <c r="AL291" s="1" t="s">
        <v>822</v>
      </c>
      <c r="AM291" s="39">
        <f>92.16+16.58</f>
        <v>108.74</v>
      </c>
      <c r="AN291" s="39">
        <f>106.5+17.53</f>
        <v>124.03</v>
      </c>
      <c r="AO291" s="39">
        <f>98.67+15.89</f>
        <v>114.56</v>
      </c>
      <c r="AP291" s="39">
        <f>94.51+13.05</f>
        <v>107.56</v>
      </c>
      <c r="AQ291" s="37"/>
      <c r="AR291" s="37"/>
      <c r="AS291" s="37"/>
      <c r="AT291" s="37"/>
      <c r="AU291" s="37"/>
      <c r="AV291" s="37"/>
      <c r="AW291" s="37"/>
      <c r="AX291" s="37"/>
      <c r="AY291" s="37"/>
      <c r="AZ291" s="37"/>
      <c r="BA291" s="37"/>
      <c r="BB291" s="37"/>
      <c r="BC291" s="37">
        <v>18.600000000000001</v>
      </c>
      <c r="BD291" s="37">
        <v>19.3</v>
      </c>
      <c r="BE291" s="37">
        <v>20.7</v>
      </c>
      <c r="BF291" s="37">
        <v>20.23</v>
      </c>
      <c r="BG291" s="42">
        <v>113.7225</v>
      </c>
      <c r="BH291" s="42"/>
      <c r="BI291" s="42"/>
      <c r="BJ291" s="42"/>
      <c r="BK291" s="44">
        <v>113.7225</v>
      </c>
      <c r="BL291" s="44">
        <v>19.707500000000003</v>
      </c>
      <c r="BM291" s="44">
        <f>+BK291+BL291</f>
        <v>133.43</v>
      </c>
      <c r="BN291" s="47">
        <v>370.43159609120522</v>
      </c>
      <c r="BO291" s="47">
        <v>64.193811074918585</v>
      </c>
      <c r="BP291" s="45">
        <v>434.62540716612375</v>
      </c>
      <c r="BQ291" s="9">
        <v>307</v>
      </c>
      <c r="BR291" s="4">
        <v>110</v>
      </c>
      <c r="BS291" s="4">
        <v>2003</v>
      </c>
      <c r="BT291" s="4" t="s">
        <v>872</v>
      </c>
      <c r="BU291" s="4"/>
      <c r="BV291" s="4"/>
      <c r="BW291" s="4" t="s">
        <v>874</v>
      </c>
      <c r="BX291" s="4"/>
      <c r="BY291" s="9">
        <f>+INT(BK291*faktorji!$B$3)</f>
        <v>7391</v>
      </c>
      <c r="BZ291" s="9">
        <f>+INT(BL291*faktorji!$B$4)</f>
        <v>3251</v>
      </c>
      <c r="CA291" s="3" t="s">
        <v>1303</v>
      </c>
      <c r="CB291" s="4">
        <v>0</v>
      </c>
      <c r="CC291" s="4">
        <v>1</v>
      </c>
      <c r="CD291" s="4">
        <v>1</v>
      </c>
      <c r="CE291" s="4">
        <v>1</v>
      </c>
      <c r="CF291" s="4">
        <v>0</v>
      </c>
      <c r="CG291" s="4">
        <v>1</v>
      </c>
      <c r="CH291" s="4">
        <v>1</v>
      </c>
      <c r="CI291" s="9">
        <f>+BQ291*(CB291*faktorji!$B$21+'MOL_tabela rezultatov'!CF299*faktorji!$B$23+'MOL_tabela rezultatov'!CH299*faktorji!$B$26)+faktorji!$B$27*CG291</f>
        <v>23065.5</v>
      </c>
      <c r="CJ291" s="9">
        <f>+(BZ291*CF291*faktorji!$B$18)+(CG291*faktorji!$B$17*('MOL_tabela rezultatov'!BY299+'MOL_tabela rezultatov'!BZ299))+('MOL_tabela rezultatov'!CH299*faktorji!$B$16*'MOL_tabela rezultatov'!BY299)+('MOL_tabela rezultatov'!CB299*faktorji!$B$12*'MOL_tabela rezultatov'!BY299)</f>
        <v>9295.2000000000007</v>
      </c>
      <c r="CK291" s="66">
        <f>+CI291/CJ291</f>
        <v>2.4814420345985022</v>
      </c>
      <c r="CL291" s="3" t="str">
        <f>CONCATENATE(IF(CB291&gt;0,"kotlovnica/toplotna postaja, ",""),IF(CF291&gt;0,"razsvetljava, ",""),IF(CG291&gt;0,"energetsko upravljanje, ",""),IF(CH291&gt;0,"manjši investicijski in organizacijski ukrepi, ",""))</f>
        <v xml:space="preserve">energetsko upravljanje, manjši investicijski in organizacijski ukrepi, </v>
      </c>
      <c r="CM291" s="9">
        <f>+CJ291*0.9</f>
        <v>8365.68</v>
      </c>
      <c r="CN291" s="9">
        <f>+CJ291*0.9</f>
        <v>8365.68</v>
      </c>
      <c r="CO291" s="9">
        <f>+CJ291*0.9</f>
        <v>8365.68</v>
      </c>
      <c r="CP291" s="69">
        <f>+IF(CI291-SUM(CM291:CO291)&lt;0,0,CI291-SUM(CM291:CO291))</f>
        <v>0</v>
      </c>
      <c r="CQ291" s="9">
        <f>+(BQ291*CE291*faktorji!$B$24)+(BQ291^0.5*CC291*4*4*0.66*faktorji!$B$22)+(BQ291^0.5*CD291*4*4*0.33*faktorji!$B$25)</f>
        <v>42220.09873157223</v>
      </c>
      <c r="CR291" s="3" t="str">
        <f t="shared" si="221"/>
        <v xml:space="preserve">izolacija ovoja, stavbno pohištvo, izolacija podstrešja, </v>
      </c>
      <c r="CS291" s="9">
        <f>+BQ291*('MOL_tabela rezultatov'!CH291*faktorji!$B$26)+faktorji!$B$27*CG291</f>
        <v>18460.5</v>
      </c>
      <c r="CT291" s="3" t="str">
        <f t="shared" si="219"/>
        <v xml:space="preserve">energetsko upravljanje, manjši investicijski in organizacijski ukrepi, </v>
      </c>
      <c r="CU291" s="9">
        <f t="shared" si="251"/>
        <v>4615.125</v>
      </c>
      <c r="CV291" s="9">
        <f t="shared" ref="CV291:CX291" si="272">+CU291</f>
        <v>4615.125</v>
      </c>
      <c r="CW291" s="9">
        <f t="shared" si="272"/>
        <v>4615.125</v>
      </c>
      <c r="CX291" s="69">
        <f t="shared" si="272"/>
        <v>4615.125</v>
      </c>
    </row>
    <row r="292" spans="1:102" s="10" customFormat="1" ht="18" hidden="1" customHeight="1">
      <c r="A292" s="53" t="s">
        <v>462</v>
      </c>
      <c r="B292" s="2" t="s">
        <v>463</v>
      </c>
      <c r="C292" s="57"/>
      <c r="D292" s="57"/>
      <c r="E292" s="51" t="s">
        <v>1175</v>
      </c>
      <c r="F292" s="51"/>
      <c r="G292" s="51">
        <v>3</v>
      </c>
      <c r="H292" s="51"/>
      <c r="I292" s="51"/>
      <c r="J292" s="51">
        <v>7</v>
      </c>
      <c r="K292" s="37" t="s">
        <v>1244</v>
      </c>
      <c r="L292" s="50"/>
      <c r="M292" s="4" t="s">
        <v>6</v>
      </c>
      <c r="N292" s="25"/>
      <c r="O292" s="25">
        <v>513.79999999999995</v>
      </c>
      <c r="P292" s="25"/>
      <c r="Q292" s="25"/>
      <c r="R292" s="25"/>
      <c r="S292" s="25"/>
      <c r="T292" s="25">
        <v>75.870999999999995</v>
      </c>
      <c r="U292" s="25">
        <v>589.67099999999994</v>
      </c>
      <c r="V292" s="30">
        <v>19.966052631578947</v>
      </c>
      <c r="W292" s="30">
        <v>135.21052631578945</v>
      </c>
      <c r="X292" s="31"/>
      <c r="Y292" s="31"/>
      <c r="Z292" s="31"/>
      <c r="AA292" s="31"/>
      <c r="AB292" s="31"/>
      <c r="AC292" s="31"/>
      <c r="AD292" s="31"/>
      <c r="AE292" s="32"/>
      <c r="AF292" s="16" t="s">
        <v>464</v>
      </c>
      <c r="AG292" s="3">
        <v>1992</v>
      </c>
      <c r="AH292" s="4"/>
      <c r="AI292" s="6">
        <v>3800</v>
      </c>
      <c r="AJ292" s="38">
        <v>100</v>
      </c>
      <c r="AK292" s="3"/>
      <c r="AL292" s="1" t="s">
        <v>465</v>
      </c>
      <c r="AM292" s="37"/>
      <c r="AN292" s="37"/>
      <c r="AO292" s="37"/>
      <c r="AP292" s="37"/>
      <c r="AQ292" s="37"/>
      <c r="AR292" s="37"/>
      <c r="AS292" s="37"/>
      <c r="AT292" s="37"/>
      <c r="AU292" s="37"/>
      <c r="AV292" s="37"/>
      <c r="AW292" s="37"/>
      <c r="AX292" s="37"/>
      <c r="AY292" s="37"/>
      <c r="AZ292" s="37"/>
      <c r="BA292" s="37"/>
      <c r="BB292" s="37"/>
      <c r="BC292" s="37"/>
      <c r="BD292" s="37"/>
      <c r="BE292" s="37"/>
      <c r="BF292" s="37"/>
      <c r="BG292" s="42"/>
      <c r="BH292" s="42">
        <v>506.14750000000004</v>
      </c>
      <c r="BI292" s="42"/>
      <c r="BJ292" s="42"/>
      <c r="BK292" s="44">
        <v>506.14750000000004</v>
      </c>
      <c r="BL292" s="44">
        <v>75.87</v>
      </c>
      <c r="BM292" s="44">
        <f>+BK292+BL292</f>
        <v>582.01750000000004</v>
      </c>
      <c r="BN292" s="47">
        <v>133.1967105263158</v>
      </c>
      <c r="BO292" s="47">
        <v>19.965789473684211</v>
      </c>
      <c r="BP292" s="45">
        <v>153.16249999999999</v>
      </c>
      <c r="BQ292" s="9">
        <v>3800</v>
      </c>
      <c r="BR292" s="4"/>
      <c r="BS292" s="4"/>
      <c r="BT292" s="4"/>
      <c r="BU292" s="4"/>
      <c r="BV292" s="4"/>
      <c r="BW292" s="4"/>
      <c r="BX292" s="4"/>
      <c r="BY292" s="9">
        <f>+INT(BK292*faktorji!$B$5)</f>
        <v>48084</v>
      </c>
      <c r="BZ292" s="9">
        <f>+INT(BL292*faktorji!$B$4)</f>
        <v>12518</v>
      </c>
      <c r="CA292" s="4"/>
      <c r="CB292" s="4">
        <v>0</v>
      </c>
      <c r="CC292" s="4">
        <v>0</v>
      </c>
      <c r="CD292" s="4">
        <v>0</v>
      </c>
      <c r="CE292" s="4">
        <v>0</v>
      </c>
      <c r="CF292" s="4">
        <v>0</v>
      </c>
      <c r="CG292" s="4">
        <v>1</v>
      </c>
      <c r="CH292" s="4">
        <v>1</v>
      </c>
      <c r="CI292" s="9">
        <f>+BQ292*(CB292*faktorji!$B$21+'MOL_tabela rezultatov'!CF180*faktorji!$B$23+'MOL_tabela rezultatov'!CH180*faktorji!$B$26)+faktorji!$B$27*CG292</f>
        <v>80700</v>
      </c>
      <c r="CJ292" s="9">
        <f>+(BZ292*CF292*faktorji!$B$18)+(CG292*faktorji!$B$17*('MOL_tabela rezultatov'!BY180+'MOL_tabela rezultatov'!BZ180))+('MOL_tabela rezultatov'!CH180*faktorji!$B$16*'MOL_tabela rezultatov'!BY180)+('MOL_tabela rezultatov'!CB180*faktorji!$B$12*'MOL_tabela rezultatov'!BY180)</f>
        <v>2137.5</v>
      </c>
      <c r="CK292" s="66">
        <f>+CI292/CJ292</f>
        <v>37.754385964912281</v>
      </c>
      <c r="CL292" s="3" t="str">
        <f>CONCATENATE(IF(CB292&gt;0,"kotlovnica/toplotna postaja, ",""),IF(CF292&gt;0,"razsvetljava, ",""),IF(CG292&gt;0,"energetsko upravljanje, ",""),IF(CH292&gt;0,"manjši investicijski in organizacijski ukrepi, ",""))</f>
        <v xml:space="preserve">energetsko upravljanje, manjši investicijski in organizacijski ukrepi, </v>
      </c>
      <c r="CM292" s="9">
        <f>+CJ292*0.9</f>
        <v>1923.75</v>
      </c>
      <c r="CN292" s="9">
        <f>+CJ292*0.9</f>
        <v>1923.75</v>
      </c>
      <c r="CO292" s="9">
        <f>+CJ292*0.9</f>
        <v>1923.75</v>
      </c>
      <c r="CP292" s="69">
        <f>+IF(CI292-SUM(CM292:CO292)&lt;0,0,CI292-SUM(CM292:CO292))</f>
        <v>74928.75</v>
      </c>
      <c r="CQ292" s="9">
        <f>+(BQ292*CE292*faktorji!$B$24)+(BQ292^0.5*CC292*4*4*0.66*faktorji!$B$22)+(BQ292^0.5*CD292*4*4*0.33*faktorji!$B$25)</f>
        <v>0</v>
      </c>
      <c r="CR292" s="3" t="str">
        <f t="shared" si="221"/>
        <v/>
      </c>
      <c r="CS292" s="9">
        <f>+BQ292*('MOL_tabela rezultatov'!CH292*faktorji!$B$26)+faktorji!$B$27*CG292</f>
        <v>23700</v>
      </c>
      <c r="CT292" s="3" t="str">
        <f t="shared" si="219"/>
        <v xml:space="preserve">energetsko upravljanje, manjši investicijski in organizacijski ukrepi, </v>
      </c>
      <c r="CU292" s="9">
        <f t="shared" si="251"/>
        <v>5925</v>
      </c>
      <c r="CV292" s="9">
        <f t="shared" ref="CV292:CX292" si="273">+CU292</f>
        <v>5925</v>
      </c>
      <c r="CW292" s="9">
        <f t="shared" si="273"/>
        <v>5925</v>
      </c>
      <c r="CX292" s="69">
        <f t="shared" si="273"/>
        <v>5925</v>
      </c>
    </row>
    <row r="293" spans="1:102" s="10" customFormat="1" ht="18" hidden="1" customHeight="1">
      <c r="A293" s="53" t="s">
        <v>626</v>
      </c>
      <c r="B293" s="2" t="s">
        <v>627</v>
      </c>
      <c r="C293" s="57"/>
      <c r="D293" s="57"/>
      <c r="E293" s="51" t="s">
        <v>1176</v>
      </c>
      <c r="F293" s="51"/>
      <c r="G293" s="51" t="s">
        <v>1366</v>
      </c>
      <c r="H293" s="51" t="s">
        <v>1255</v>
      </c>
      <c r="I293" s="79" t="s">
        <v>1334</v>
      </c>
      <c r="J293" s="51">
        <v>1</v>
      </c>
      <c r="K293" s="37" t="s">
        <v>1243</v>
      </c>
      <c r="L293" s="50">
        <v>2014</v>
      </c>
      <c r="M293" s="110" t="s">
        <v>5</v>
      </c>
      <c r="N293" s="25">
        <v>286.81</v>
      </c>
      <c r="O293" s="25"/>
      <c r="P293" s="25"/>
      <c r="Q293" s="25"/>
      <c r="R293" s="25"/>
      <c r="S293" s="25"/>
      <c r="T293" s="25">
        <v>63.692999999999998</v>
      </c>
      <c r="U293" s="25">
        <v>350.50299999999999</v>
      </c>
      <c r="V293" s="30">
        <v>47.745877061469265</v>
      </c>
      <c r="W293" s="30">
        <v>215</v>
      </c>
      <c r="X293" s="31"/>
      <c r="Y293" s="31"/>
      <c r="Z293" s="31"/>
      <c r="AA293" s="31"/>
      <c r="AB293" s="31"/>
      <c r="AC293" s="31"/>
      <c r="AD293" s="31"/>
      <c r="AE293" s="32"/>
      <c r="AF293" s="16"/>
      <c r="AG293" s="3">
        <v>1986</v>
      </c>
      <c r="AH293" s="4"/>
      <c r="AI293" s="6">
        <v>1334</v>
      </c>
      <c r="AJ293" s="38">
        <v>100</v>
      </c>
      <c r="AK293" s="3"/>
      <c r="AL293" s="1" t="s">
        <v>421</v>
      </c>
      <c r="AM293" s="37"/>
      <c r="AN293" s="37"/>
      <c r="AO293" s="37"/>
      <c r="AP293" s="37"/>
      <c r="AQ293" s="37"/>
      <c r="AR293" s="37"/>
      <c r="AS293" s="37"/>
      <c r="AT293" s="37"/>
      <c r="AU293" s="37"/>
      <c r="AV293" s="37"/>
      <c r="AW293" s="37"/>
      <c r="AX293" s="37"/>
      <c r="AY293" s="37"/>
      <c r="AZ293" s="37"/>
      <c r="BA293" s="37"/>
      <c r="BB293" s="37"/>
      <c r="BC293" s="37">
        <v>38.9</v>
      </c>
      <c r="BD293" s="37">
        <v>44.2</v>
      </c>
      <c r="BE293" s="37">
        <v>45.33</v>
      </c>
      <c r="BF293" s="37"/>
      <c r="BG293" s="42">
        <v>159.30000000000001</v>
      </c>
      <c r="BH293" s="42"/>
      <c r="BI293" s="42"/>
      <c r="BJ293" s="42"/>
      <c r="BK293" s="107">
        <v>119.5</v>
      </c>
      <c r="BL293" s="107">
        <v>45.3</v>
      </c>
      <c r="BM293" s="107">
        <f>+BK293+BL293</f>
        <v>164.8</v>
      </c>
      <c r="BN293" s="108">
        <f>+BK293*1000/BQ293</f>
        <v>98.031173092698936</v>
      </c>
      <c r="BO293" s="108">
        <f>+BL293*1000/BQ293</f>
        <v>37.161607875307631</v>
      </c>
      <c r="BP293" s="109">
        <f>+BO293+BN293</f>
        <v>135.19278096800656</v>
      </c>
      <c r="BQ293" s="106">
        <v>1219</v>
      </c>
      <c r="BR293" s="110">
        <v>180</v>
      </c>
      <c r="BS293" s="110"/>
      <c r="BT293" s="110" t="s">
        <v>431</v>
      </c>
      <c r="BU293" s="4"/>
      <c r="BV293" s="4"/>
      <c r="BW293" s="4"/>
      <c r="BX293" s="4"/>
      <c r="BY293" s="106">
        <v>4780</v>
      </c>
      <c r="BZ293" s="106">
        <v>6570</v>
      </c>
      <c r="CA293" s="114" t="s">
        <v>1317</v>
      </c>
      <c r="CB293" s="4">
        <v>0</v>
      </c>
      <c r="CC293" s="4">
        <v>0</v>
      </c>
      <c r="CD293" s="4">
        <v>0</v>
      </c>
      <c r="CE293" s="4">
        <v>0</v>
      </c>
      <c r="CF293" s="4">
        <v>0</v>
      </c>
      <c r="CG293" s="4">
        <v>0</v>
      </c>
      <c r="CH293" s="4">
        <v>0</v>
      </c>
      <c r="CI293" s="106">
        <v>20000</v>
      </c>
      <c r="CJ293" s="9"/>
      <c r="CK293" s="9"/>
      <c r="CL293" s="3" t="str">
        <f>CONCATENATE(IF(CB293&gt;0,"kotlovnica/toplotna postaja, ",""),IF(CF293&gt;0,"razsvetljava, ",""),IF(CG293&gt;0,"energetsko upravljanje, ",""),IF(CH293&gt;0,"manjši investicijski in organizacijski ukrepi, ",""))</f>
        <v/>
      </c>
      <c r="CM293" s="9">
        <f>+CJ293*0.9</f>
        <v>0</v>
      </c>
      <c r="CN293" s="9">
        <f>+CJ293*0.9</f>
        <v>0</v>
      </c>
      <c r="CO293" s="9">
        <f>+CJ293*0.9</f>
        <v>0</v>
      </c>
      <c r="CP293" s="69">
        <f>+IF(CI293-SUM(CM293:CO293)&lt;0,0,CI293-SUM(CM293:CO293))</f>
        <v>20000</v>
      </c>
      <c r="CQ293" s="9">
        <f>+(BQ293*CE293*faktorji!$B$24)+(BQ293^0.5*CC293*4*4*0.66*faktorji!$B$22)+(BQ293^0.5*CD293*4*4*0.33*faktorji!$B$25)</f>
        <v>0</v>
      </c>
      <c r="CR293" s="3" t="str">
        <f t="shared" si="221"/>
        <v/>
      </c>
      <c r="CS293" s="9">
        <f>+BQ293*('MOL_tabela rezultatov'!CH293*faktorji!$B$26)+faktorji!$B$27*CG293</f>
        <v>0</v>
      </c>
      <c r="CT293" s="3" t="str">
        <f t="shared" si="219"/>
        <v/>
      </c>
      <c r="CU293" s="9">
        <f t="shared" si="251"/>
        <v>0</v>
      </c>
      <c r="CV293" s="9">
        <f t="shared" ref="CV293:CX293" si="274">+CU293</f>
        <v>0</v>
      </c>
      <c r="CW293" s="9">
        <f t="shared" si="274"/>
        <v>0</v>
      </c>
      <c r="CX293" s="69">
        <f t="shared" si="274"/>
        <v>0</v>
      </c>
    </row>
    <row r="294" spans="1:102" s="10" customFormat="1" ht="18" hidden="1" customHeight="1">
      <c r="A294" s="53" t="s">
        <v>284</v>
      </c>
      <c r="B294" s="2" t="s">
        <v>285</v>
      </c>
      <c r="C294" s="57"/>
      <c r="D294" s="57"/>
      <c r="E294" s="51" t="s">
        <v>1174</v>
      </c>
      <c r="F294" s="51"/>
      <c r="G294" s="51">
        <v>4</v>
      </c>
      <c r="H294" s="51"/>
      <c r="I294" s="51"/>
      <c r="J294" s="51">
        <v>7</v>
      </c>
      <c r="K294" s="37" t="s">
        <v>1241</v>
      </c>
      <c r="L294" s="50"/>
      <c r="M294" s="4" t="s">
        <v>5</v>
      </c>
      <c r="N294" s="25">
        <v>11.15</v>
      </c>
      <c r="O294" s="25"/>
      <c r="P294" s="25"/>
      <c r="Q294" s="25"/>
      <c r="R294" s="25"/>
      <c r="S294" s="25"/>
      <c r="T294" s="25">
        <v>0.6</v>
      </c>
      <c r="U294" s="25">
        <v>11.75</v>
      </c>
      <c r="V294" s="30">
        <v>7.1090047393364921</v>
      </c>
      <c r="W294" s="30">
        <v>132.10900473933648</v>
      </c>
      <c r="X294" s="31"/>
      <c r="Y294" s="31"/>
      <c r="Z294" s="31"/>
      <c r="AA294" s="31"/>
      <c r="AB294" s="31"/>
      <c r="AC294" s="31">
        <v>0.74</v>
      </c>
      <c r="AD294" s="31"/>
      <c r="AE294" s="32">
        <v>0</v>
      </c>
      <c r="AF294" s="1"/>
      <c r="AG294" s="4"/>
      <c r="AH294" s="4">
        <v>1</v>
      </c>
      <c r="AI294" s="6">
        <v>84.4</v>
      </c>
      <c r="AJ294" s="38">
        <v>100</v>
      </c>
      <c r="AK294" s="3"/>
      <c r="AL294" s="1"/>
      <c r="AM294" s="37"/>
      <c r="AN294" s="37"/>
      <c r="AO294" s="37"/>
      <c r="AP294" s="37"/>
      <c r="AQ294" s="37"/>
      <c r="AR294" s="37"/>
      <c r="AS294" s="37"/>
      <c r="AT294" s="37"/>
      <c r="AU294" s="37"/>
      <c r="AV294" s="37"/>
      <c r="AW294" s="37"/>
      <c r="AX294" s="37"/>
      <c r="AY294" s="37"/>
      <c r="AZ294" s="37"/>
      <c r="BA294" s="37"/>
      <c r="BB294" s="37"/>
      <c r="BC294" s="37"/>
      <c r="BD294" s="37"/>
      <c r="BE294" s="37"/>
      <c r="BF294" s="37"/>
      <c r="BG294" s="42">
        <v>11.15</v>
      </c>
      <c r="BH294" s="42"/>
      <c r="BI294" s="42"/>
      <c r="BJ294" s="42"/>
      <c r="BK294" s="44">
        <v>11.15</v>
      </c>
      <c r="BL294" s="44">
        <v>0.6</v>
      </c>
      <c r="BM294" s="44">
        <f>+BK294+BL294</f>
        <v>11.75</v>
      </c>
      <c r="BN294" s="47">
        <v>132.10900473933648</v>
      </c>
      <c r="BO294" s="47">
        <v>7.1090047393364921</v>
      </c>
      <c r="BP294" s="45">
        <v>139.21800947867297</v>
      </c>
      <c r="BQ294" s="6">
        <v>84.4</v>
      </c>
      <c r="BR294" s="4"/>
      <c r="BS294" s="4"/>
      <c r="BT294" s="4"/>
      <c r="BU294" s="4"/>
      <c r="BV294" s="4"/>
      <c r="BW294" s="4"/>
      <c r="BX294" s="4"/>
      <c r="BY294" s="9">
        <f>+INT(BK294*faktorji!$B$3)</f>
        <v>724</v>
      </c>
      <c r="BZ294" s="9">
        <f>+INT(BL294*faktorji!$B$4)</f>
        <v>99</v>
      </c>
      <c r="CA294" s="4"/>
      <c r="CB294" s="4">
        <v>0</v>
      </c>
      <c r="CC294" s="4">
        <v>0</v>
      </c>
      <c r="CD294" s="4">
        <v>0</v>
      </c>
      <c r="CE294" s="4">
        <v>0</v>
      </c>
      <c r="CF294" s="4">
        <v>1</v>
      </c>
      <c r="CG294" s="4">
        <v>1</v>
      </c>
      <c r="CH294" s="4">
        <v>1</v>
      </c>
      <c r="CI294" s="9">
        <f>+BQ294*(CB294*faktorji!$B$21+'MOL_tabela rezultatov'!CF110*faktorji!$B$23+'MOL_tabela rezultatov'!CH110*faktorji!$B$26)+faktorji!$B$27*CG294</f>
        <v>19392.599999999999</v>
      </c>
      <c r="CJ294" s="9">
        <f>+(BZ294*CF294*faktorji!$B$18)+(CG294*faktorji!$B$17*('MOL_tabela rezultatov'!BY110+'MOL_tabela rezultatov'!BZ110))+('MOL_tabela rezultatov'!CH110*faktorji!$B$16*'MOL_tabela rezultatov'!BY110)+('MOL_tabela rezultatov'!CB110*faktorji!$B$12*'MOL_tabela rezultatov'!BY110)</f>
        <v>763.95</v>
      </c>
      <c r="CK294" s="66">
        <f>+CI294/CJ294</f>
        <v>25.384645591989003</v>
      </c>
      <c r="CL294" s="3" t="str">
        <f>CONCATENATE(IF(CB294&gt;0,"kotlovnica/toplotna postaja, ",""),IF(CF294&gt;0,"razsvetljava, ",""),IF(CG294&gt;0,"energetsko upravljanje, ",""),IF(CH294&gt;0,"manjši investicijski in organizacijski ukrepi, ",""))</f>
        <v xml:space="preserve">razsvetljava, energetsko upravljanje, manjši investicijski in organizacijski ukrepi, </v>
      </c>
      <c r="CM294" s="9">
        <f>+CJ294*0.9</f>
        <v>687.55500000000006</v>
      </c>
      <c r="CN294" s="9">
        <f>+CJ294*0.9</f>
        <v>687.55500000000006</v>
      </c>
      <c r="CO294" s="9">
        <f>+CJ294*0.9</f>
        <v>687.55500000000006</v>
      </c>
      <c r="CP294" s="69">
        <f>+IF(CI294-SUM(CM294:CO294)&lt;0,0,CI294-SUM(CM294:CO294))</f>
        <v>17329.934999999998</v>
      </c>
      <c r="CQ294" s="9">
        <f>+(BQ294*CE294*faktorji!$B$24)+(BQ294^0.5*CC294*4*4*0.66*faktorji!$B$22)+(BQ294^0.5*CD294*4*4*0.33*faktorji!$B$25)</f>
        <v>0</v>
      </c>
      <c r="CR294" s="3" t="str">
        <f t="shared" si="221"/>
        <v/>
      </c>
      <c r="CS294" s="9">
        <f>+BQ294*('MOL_tabela rezultatov'!CH294*faktorji!$B$26)+faktorji!$B$27*CG294</f>
        <v>18126.599999999999</v>
      </c>
      <c r="CT294" s="3" t="str">
        <f t="shared" si="219"/>
        <v xml:space="preserve">energetsko upravljanje, manjši investicijski in organizacijski ukrepi, </v>
      </c>
      <c r="CU294" s="9">
        <f t="shared" si="251"/>
        <v>4531.6499999999996</v>
      </c>
      <c r="CV294" s="9">
        <f t="shared" ref="CV294:CX294" si="275">+CU294</f>
        <v>4531.6499999999996</v>
      </c>
      <c r="CW294" s="9">
        <f t="shared" si="275"/>
        <v>4531.6499999999996</v>
      </c>
      <c r="CX294" s="69">
        <f t="shared" si="275"/>
        <v>4531.6499999999996</v>
      </c>
    </row>
    <row r="295" spans="1:102" s="10" customFormat="1" ht="18" hidden="1" customHeight="1">
      <c r="A295" s="53" t="s">
        <v>722</v>
      </c>
      <c r="B295" s="2" t="s">
        <v>723</v>
      </c>
      <c r="C295" s="57"/>
      <c r="D295" s="57"/>
      <c r="E295" s="51" t="s">
        <v>1176</v>
      </c>
      <c r="F295" s="51"/>
      <c r="G295" s="51">
        <v>2</v>
      </c>
      <c r="H295" s="51"/>
      <c r="I295" s="51"/>
      <c r="J295" s="51">
        <v>2</v>
      </c>
      <c r="K295" s="37" t="s">
        <v>1242</v>
      </c>
      <c r="L295" s="50"/>
      <c r="M295" s="4" t="s">
        <v>6</v>
      </c>
      <c r="N295" s="25"/>
      <c r="O295" s="25">
        <v>26.9</v>
      </c>
      <c r="P295" s="25"/>
      <c r="Q295" s="25"/>
      <c r="R295" s="25"/>
      <c r="S295" s="25"/>
      <c r="T295" s="25">
        <v>2.5030000000000001</v>
      </c>
      <c r="U295" s="25">
        <v>29.402999999999999</v>
      </c>
      <c r="V295" s="30">
        <v>26.347368421052632</v>
      </c>
      <c r="W295" s="30">
        <v>283.15789473684208</v>
      </c>
      <c r="X295" s="31"/>
      <c r="Y295" s="31"/>
      <c r="Z295" s="31"/>
      <c r="AA295" s="31"/>
      <c r="AB295" s="31"/>
      <c r="AC295" s="31"/>
      <c r="AD295" s="31"/>
      <c r="AE295" s="32"/>
      <c r="AF295" s="16"/>
      <c r="AG295" s="3"/>
      <c r="AH295" s="4"/>
      <c r="AI295" s="6">
        <v>95</v>
      </c>
      <c r="AJ295" s="38">
        <v>100</v>
      </c>
      <c r="AK295" s="3"/>
      <c r="AL295" s="1" t="s">
        <v>724</v>
      </c>
      <c r="AM295" s="37"/>
      <c r="AN295" s="37"/>
      <c r="AO295" s="37"/>
      <c r="AP295" s="37"/>
      <c r="AQ295" s="37"/>
      <c r="AR295" s="37"/>
      <c r="AS295" s="37"/>
      <c r="AT295" s="37"/>
      <c r="AU295" s="37"/>
      <c r="AV295" s="37"/>
      <c r="AW295" s="37"/>
      <c r="AX295" s="37"/>
      <c r="AY295" s="37"/>
      <c r="AZ295" s="37"/>
      <c r="BA295" s="37"/>
      <c r="BB295" s="37"/>
      <c r="BC295" s="37">
        <v>6</v>
      </c>
      <c r="BD295" s="37">
        <v>5.8</v>
      </c>
      <c r="BE295" s="37">
        <v>6.1</v>
      </c>
      <c r="BF295" s="37">
        <v>6.4</v>
      </c>
      <c r="BG295" s="42"/>
      <c r="BH295" s="42">
        <v>26.9</v>
      </c>
      <c r="BI295" s="42"/>
      <c r="BJ295" s="42"/>
      <c r="BK295" s="44">
        <v>26.9</v>
      </c>
      <c r="BL295" s="44">
        <v>6.0749999999999993</v>
      </c>
      <c r="BM295" s="44">
        <f>+BK295+BL295</f>
        <v>32.974999999999994</v>
      </c>
      <c r="BN295" s="47">
        <v>244.54545454545453</v>
      </c>
      <c r="BO295" s="47">
        <v>55.22727272727272</v>
      </c>
      <c r="BP295" s="45">
        <v>299.7727272727272</v>
      </c>
      <c r="BQ295" s="9">
        <v>110</v>
      </c>
      <c r="BR295" s="4"/>
      <c r="BS295" s="4"/>
      <c r="BT295" s="4" t="s">
        <v>872</v>
      </c>
      <c r="BU295" s="4"/>
      <c r="BV295" s="4" t="s">
        <v>927</v>
      </c>
      <c r="BW295" s="4"/>
      <c r="BX295" s="4" t="s">
        <v>926</v>
      </c>
      <c r="BY295" s="9">
        <f>+INT(BK295*faktorji!$B$5)</f>
        <v>2555</v>
      </c>
      <c r="BZ295" s="9">
        <f>+INT(BL295*faktorji!$B$4)</f>
        <v>1002</v>
      </c>
      <c r="CA295" s="3" t="s">
        <v>1304</v>
      </c>
      <c r="CB295" s="4">
        <v>0.05</v>
      </c>
      <c r="CC295" s="4">
        <v>0.5</v>
      </c>
      <c r="CD295" s="4">
        <v>1</v>
      </c>
      <c r="CE295" s="4">
        <v>0</v>
      </c>
      <c r="CF295" s="4">
        <v>1</v>
      </c>
      <c r="CG295" s="4">
        <v>1</v>
      </c>
      <c r="CH295" s="4">
        <v>1</v>
      </c>
      <c r="CI295" s="9">
        <f>+BQ295*(CB295*faktorji!$B$21+'MOL_tabela rezultatov'!CF264*faktorji!$B$23+'MOL_tabela rezultatov'!CH264*faktorji!$B$26)+faktorji!$B$27*CG295</f>
        <v>19897.5</v>
      </c>
      <c r="CJ295" s="9">
        <f>+(BZ295*CF295*faktorji!$B$18)+(CG295*faktorji!$B$17*('MOL_tabela rezultatov'!BY264+'MOL_tabela rezultatov'!BZ264))+('MOL_tabela rezultatov'!CH264*faktorji!$B$16*'MOL_tabela rezultatov'!BY264)+('MOL_tabela rezultatov'!CB264*faktorji!$B$12*'MOL_tabela rezultatov'!BY264)</f>
        <v>2749.8</v>
      </c>
      <c r="CK295" s="66">
        <f>+CI295/CJ295</f>
        <v>7.235980798603534</v>
      </c>
      <c r="CL295" s="3" t="str">
        <f>CONCATENATE(IF(CB295&gt;0,"kotlovnica/toplotna postaja, ",""),IF(CF295&gt;0,"razsvetljava, ",""),IF(CG295&gt;0,"energetsko upravljanje, ",""),IF(CH295&gt;0,"manjši investicijski in organizacijski ukrepi, ",""))</f>
        <v xml:space="preserve">kotlovnica/toplotna postaja, razsvetljava, energetsko upravljanje, manjši investicijski in organizacijski ukrepi, </v>
      </c>
      <c r="CM295" s="9">
        <f>+CJ295*0.9</f>
        <v>2474.8200000000002</v>
      </c>
      <c r="CN295" s="9">
        <f>+CJ295*0.9</f>
        <v>2474.8200000000002</v>
      </c>
      <c r="CO295" s="9">
        <f>+CJ295*0.9</f>
        <v>2474.8200000000002</v>
      </c>
      <c r="CP295" s="69">
        <f>+IF(CI295-SUM(CM295:CO295)&lt;0,0,CI295-SUM(CM295:CO295))</f>
        <v>12473.039999999999</v>
      </c>
      <c r="CQ295" s="9">
        <f>+(BQ295*CE295*faktorji!$B$24)+(BQ295^0.5*CC295*4*4*0.66*faktorji!$B$22)+(BQ295^0.5*CD295*4*4*0.33*faktorji!$B$25)</f>
        <v>17720.674298682883</v>
      </c>
      <c r="CR295" s="3" t="str">
        <f t="shared" si="221"/>
        <v xml:space="preserve">izolacija ovoja, stavbno pohištvo, </v>
      </c>
      <c r="CS295" s="9">
        <f>+BQ295*('MOL_tabela rezultatov'!CH295*faktorji!$B$26)+faktorji!$B$27*CG295</f>
        <v>18165</v>
      </c>
      <c r="CT295" s="3" t="str">
        <f t="shared" si="219"/>
        <v xml:space="preserve">energetsko upravljanje, manjši investicijski in organizacijski ukrepi, </v>
      </c>
      <c r="CU295" s="9">
        <f t="shared" si="251"/>
        <v>4541.25</v>
      </c>
      <c r="CV295" s="9">
        <f t="shared" ref="CV295:CX295" si="276">+CU295</f>
        <v>4541.25</v>
      </c>
      <c r="CW295" s="9">
        <f t="shared" si="276"/>
        <v>4541.25</v>
      </c>
      <c r="CX295" s="69">
        <f t="shared" si="276"/>
        <v>4541.25</v>
      </c>
    </row>
    <row r="296" spans="1:102" s="10" customFormat="1" ht="18" hidden="1" customHeight="1">
      <c r="A296" s="54" t="s">
        <v>419</v>
      </c>
      <c r="B296" s="140" t="s">
        <v>420</v>
      </c>
      <c r="C296" s="56"/>
      <c r="D296" s="56"/>
      <c r="E296" s="51" t="s">
        <v>1175</v>
      </c>
      <c r="F296" s="51"/>
      <c r="G296" s="51">
        <v>3</v>
      </c>
      <c r="H296" s="51"/>
      <c r="I296" s="51"/>
      <c r="J296" s="51">
        <v>7</v>
      </c>
      <c r="K296" s="37" t="s">
        <v>1241</v>
      </c>
      <c r="L296" s="50"/>
      <c r="M296" s="4" t="s">
        <v>6</v>
      </c>
      <c r="N296" s="25"/>
      <c r="O296" s="25"/>
      <c r="P296" s="25"/>
      <c r="Q296" s="25"/>
      <c r="R296" s="25"/>
      <c r="S296" s="25">
        <v>63.589833704976037</v>
      </c>
      <c r="T296" s="25">
        <v>11.123192648665055</v>
      </c>
      <c r="U296" s="25">
        <v>11.123192648665055</v>
      </c>
      <c r="V296" s="30">
        <v>24.718205885922345</v>
      </c>
      <c r="W296" s="30">
        <v>141.31074156661342</v>
      </c>
      <c r="X296" s="31"/>
      <c r="Y296" s="31"/>
      <c r="Z296" s="31"/>
      <c r="AA296" s="31"/>
      <c r="AB296" s="31"/>
      <c r="AC296" s="31"/>
      <c r="AD296" s="31"/>
      <c r="AE296" s="32"/>
      <c r="AF296" s="16"/>
      <c r="AG296" s="3"/>
      <c r="AH296" s="4"/>
      <c r="AI296" s="6">
        <v>450</v>
      </c>
      <c r="AJ296" s="38">
        <v>100</v>
      </c>
      <c r="AK296" s="3"/>
      <c r="AL296" s="1" t="s">
        <v>421</v>
      </c>
      <c r="AM296" s="37"/>
      <c r="AN296" s="37"/>
      <c r="AO296" s="37"/>
      <c r="AP296" s="37"/>
      <c r="AQ296" s="37"/>
      <c r="AR296" s="37"/>
      <c r="AS296" s="37"/>
      <c r="AT296" s="37"/>
      <c r="AU296" s="37"/>
      <c r="AV296" s="37"/>
      <c r="AW296" s="37"/>
      <c r="AX296" s="37"/>
      <c r="AY296" s="37"/>
      <c r="AZ296" s="37"/>
      <c r="BA296" s="37"/>
      <c r="BB296" s="37"/>
      <c r="BC296" s="37"/>
      <c r="BD296" s="37"/>
      <c r="BE296" s="37"/>
      <c r="BF296" s="37"/>
      <c r="BG296" s="42"/>
      <c r="BH296" s="42">
        <v>55.71</v>
      </c>
      <c r="BI296" s="42"/>
      <c r="BJ296" s="42"/>
      <c r="BK296" s="44">
        <v>55.71</v>
      </c>
      <c r="BL296" s="44">
        <v>10.125</v>
      </c>
      <c r="BM296" s="44">
        <f>+BK296+BL296</f>
        <v>65.835000000000008</v>
      </c>
      <c r="BN296" s="47">
        <v>123.8</v>
      </c>
      <c r="BO296" s="47">
        <v>22.5</v>
      </c>
      <c r="BP296" s="45">
        <v>22.5</v>
      </c>
      <c r="BQ296" s="9">
        <v>450</v>
      </c>
      <c r="BR296" s="4"/>
      <c r="BS296" s="4"/>
      <c r="BT296" s="4"/>
      <c r="BU296" s="4"/>
      <c r="BV296" s="4"/>
      <c r="BW296" s="4"/>
      <c r="BX296" s="4"/>
      <c r="BY296" s="9">
        <f>+INT(BK296*faktorji!$B$5)</f>
        <v>5292</v>
      </c>
      <c r="BZ296" s="9">
        <f>+INT(BL296*faktorji!$B$4)</f>
        <v>1670</v>
      </c>
      <c r="CA296" s="4"/>
      <c r="CB296" s="4">
        <v>0</v>
      </c>
      <c r="CC296" s="4">
        <v>0</v>
      </c>
      <c r="CD296" s="4">
        <v>0</v>
      </c>
      <c r="CE296" s="4">
        <v>0</v>
      </c>
      <c r="CF296" s="4">
        <v>1</v>
      </c>
      <c r="CG296" s="4">
        <v>1</v>
      </c>
      <c r="CH296" s="4">
        <v>1</v>
      </c>
      <c r="CI296" s="9">
        <f>+BQ296*(CB296*faktorji!$B$21+'MOL_tabela rezultatov'!CF166*faktorji!$B$23+'MOL_tabela rezultatov'!CH166*faktorji!$B$26)+faktorji!$B$27*CG296</f>
        <v>25425</v>
      </c>
      <c r="CJ296" s="9">
        <f>+(BZ296*CF296*faktorji!$B$18)+(CG296*faktorji!$B$17*('MOL_tabela rezultatov'!BY166+'MOL_tabela rezultatov'!BZ166))+('MOL_tabela rezultatov'!CH166*faktorji!$B$16*'MOL_tabela rezultatov'!BY166)+('MOL_tabela rezultatov'!CB166*faktorji!$B$12*'MOL_tabela rezultatov'!BY166)</f>
        <v>4337.5</v>
      </c>
      <c r="CK296" s="66">
        <f>+CI296/CJ296</f>
        <v>5.8616714697406342</v>
      </c>
      <c r="CL296" s="3" t="str">
        <f>CONCATENATE(IF(CB296&gt;0,"kotlovnica/toplotna postaja, ",""),IF(CF296&gt;0,"razsvetljava, ",""),IF(CG296&gt;0,"energetsko upravljanje, ",""),IF(CH296&gt;0,"manjši investicijski in organizacijski ukrepi, ",""))</f>
        <v xml:space="preserve">razsvetljava, energetsko upravljanje, manjši investicijski in organizacijski ukrepi, </v>
      </c>
      <c r="CM296" s="9">
        <f>+CJ296*0.9</f>
        <v>3903.75</v>
      </c>
      <c r="CN296" s="9">
        <f>+CJ296*0.9</f>
        <v>3903.75</v>
      </c>
      <c r="CO296" s="9">
        <f>+CJ296*0.9</f>
        <v>3903.75</v>
      </c>
      <c r="CP296" s="69">
        <f>+IF(CI296-SUM(CM296:CO296)&lt;0,0,CI296-SUM(CM296:CO296))</f>
        <v>13713.75</v>
      </c>
      <c r="CQ296" s="9">
        <f>+(BQ296*CE296*faktorji!$B$24)+(BQ296^0.5*CC296*4*4*0.66*faktorji!$B$22)+(BQ296^0.5*CD296*4*4*0.33*faktorji!$B$25)</f>
        <v>0</v>
      </c>
      <c r="CR296" s="3" t="str">
        <f t="shared" si="221"/>
        <v/>
      </c>
      <c r="CS296" s="9">
        <f>+BQ296*('MOL_tabela rezultatov'!CH296*faktorji!$B$26)+faktorji!$B$27*CG296</f>
        <v>18675</v>
      </c>
      <c r="CT296" s="3" t="str">
        <f t="shared" si="219"/>
        <v xml:space="preserve">energetsko upravljanje, manjši investicijski in organizacijski ukrepi, </v>
      </c>
      <c r="CU296" s="9">
        <f t="shared" si="251"/>
        <v>4668.75</v>
      </c>
      <c r="CV296" s="9">
        <f t="shared" ref="CV296:CX296" si="277">+CU296</f>
        <v>4668.75</v>
      </c>
      <c r="CW296" s="9">
        <f t="shared" si="277"/>
        <v>4668.75</v>
      </c>
      <c r="CX296" s="69">
        <f t="shared" si="277"/>
        <v>4668.75</v>
      </c>
    </row>
    <row r="297" spans="1:102" s="10" customFormat="1" ht="18" hidden="1" customHeight="1">
      <c r="A297" s="53" t="s">
        <v>690</v>
      </c>
      <c r="B297" s="141" t="s">
        <v>420</v>
      </c>
      <c r="C297" s="57"/>
      <c r="D297" s="57"/>
      <c r="E297" s="51" t="s">
        <v>1176</v>
      </c>
      <c r="F297" s="51"/>
      <c r="G297" s="51">
        <v>3</v>
      </c>
      <c r="H297" s="51"/>
      <c r="I297" s="51"/>
      <c r="J297" s="51">
        <v>7</v>
      </c>
      <c r="K297" s="37" t="s">
        <v>1243</v>
      </c>
      <c r="L297" s="50"/>
      <c r="M297" s="4" t="s">
        <v>6</v>
      </c>
      <c r="N297" s="25"/>
      <c r="O297" s="25">
        <v>174.5</v>
      </c>
      <c r="P297" s="25"/>
      <c r="Q297" s="25"/>
      <c r="R297" s="25"/>
      <c r="S297" s="25"/>
      <c r="T297" s="25">
        <v>11.481</v>
      </c>
      <c r="U297" s="25">
        <v>185.98099999999999</v>
      </c>
      <c r="V297" s="30">
        <v>10.913498098859316</v>
      </c>
      <c r="W297" s="30">
        <v>165.87452471482891</v>
      </c>
      <c r="X297" s="31"/>
      <c r="Y297" s="31"/>
      <c r="Z297" s="31"/>
      <c r="AA297" s="31"/>
      <c r="AB297" s="31"/>
      <c r="AC297" s="31"/>
      <c r="AD297" s="31"/>
      <c r="AE297" s="32"/>
      <c r="AF297" s="16" t="s">
        <v>691</v>
      </c>
      <c r="AG297" s="3">
        <v>1980</v>
      </c>
      <c r="AH297" s="4"/>
      <c r="AI297" s="6">
        <v>1052</v>
      </c>
      <c r="AJ297" s="38">
        <v>100</v>
      </c>
      <c r="AK297" s="3"/>
      <c r="AL297" s="1" t="s">
        <v>692</v>
      </c>
      <c r="AM297" s="37"/>
      <c r="AN297" s="37"/>
      <c r="AO297" s="37"/>
      <c r="AP297" s="37"/>
      <c r="AQ297" s="37"/>
      <c r="AR297" s="37">
        <f>(27721*9.5)/1000</f>
        <v>263.34949999999998</v>
      </c>
      <c r="AS297" s="37">
        <f>(23814*9.5)/1000</f>
        <v>226.233</v>
      </c>
      <c r="AT297" s="37">
        <f>(19519*9.5)/1000</f>
        <v>185.43049999999999</v>
      </c>
      <c r="AU297" s="37"/>
      <c r="AV297" s="37"/>
      <c r="AW297" s="37"/>
      <c r="AX297" s="37"/>
      <c r="AY297" s="37"/>
      <c r="AZ297" s="37"/>
      <c r="BA297" s="37"/>
      <c r="BB297" s="37"/>
      <c r="BC297" s="37"/>
      <c r="BD297" s="37">
        <v>81.900000000000006</v>
      </c>
      <c r="BE297" s="37">
        <v>46.1</v>
      </c>
      <c r="BF297" s="37">
        <v>42.1</v>
      </c>
      <c r="BG297" s="42"/>
      <c r="BH297" s="42">
        <v>225.00433333333331</v>
      </c>
      <c r="BI297" s="42"/>
      <c r="BJ297" s="42"/>
      <c r="BK297" s="44">
        <v>225.00433333333331</v>
      </c>
      <c r="BL297" s="44">
        <v>56.699999999999996</v>
      </c>
      <c r="BM297" s="44">
        <f>+BK297+BL297</f>
        <v>281.7043333333333</v>
      </c>
      <c r="BN297" s="47">
        <v>177.86903820816863</v>
      </c>
      <c r="BO297" s="47">
        <v>44.822134387351774</v>
      </c>
      <c r="BP297" s="45">
        <v>222.69117259552041</v>
      </c>
      <c r="BQ297" s="9">
        <v>1265</v>
      </c>
      <c r="BR297" s="1" t="s">
        <v>911</v>
      </c>
      <c r="BS297" s="4">
        <v>2010</v>
      </c>
      <c r="BT297" s="4" t="s">
        <v>872</v>
      </c>
      <c r="BU297" s="4"/>
      <c r="BV297" s="4" t="s">
        <v>912</v>
      </c>
      <c r="BW297" s="4"/>
      <c r="BX297" s="1" t="s">
        <v>863</v>
      </c>
      <c r="BY297" s="9">
        <f>+INT(BK297*faktorji!$B$5)</f>
        <v>21375</v>
      </c>
      <c r="BZ297" s="9">
        <f>+INT(BL297*faktorji!$B$4)</f>
        <v>9355</v>
      </c>
      <c r="CA297" s="1"/>
      <c r="CB297" s="4">
        <v>0</v>
      </c>
      <c r="CC297" s="4">
        <v>1</v>
      </c>
      <c r="CD297" s="4">
        <v>0</v>
      </c>
      <c r="CE297" s="4">
        <v>0</v>
      </c>
      <c r="CF297" s="4">
        <v>1</v>
      </c>
      <c r="CG297" s="4">
        <v>1</v>
      </c>
      <c r="CH297" s="4">
        <v>1</v>
      </c>
      <c r="CI297" s="9">
        <f>+BQ297*(CB297*faktorji!$B$21+'MOL_tabela rezultatov'!CF255*faktorji!$B$23+'MOL_tabela rezultatov'!CH255*faktorji!$B$26)+faktorji!$B$27*CG297</f>
        <v>38872.5</v>
      </c>
      <c r="CJ297" s="9">
        <f>+(BZ297*CF297*faktorji!$B$18)+(CG297*faktorji!$B$17*('MOL_tabela rezultatov'!BY255+'MOL_tabela rezultatov'!BZ255))+('MOL_tabela rezultatov'!CH255*faktorji!$B$16*'MOL_tabela rezultatov'!BY255)+('MOL_tabela rezultatov'!CB255*faktorji!$B$12*'MOL_tabela rezultatov'!BY255)</f>
        <v>6946.75</v>
      </c>
      <c r="CK297" s="66">
        <f>+CI297/CJ297</f>
        <v>5.5957822003094977</v>
      </c>
      <c r="CL297" s="3" t="str">
        <f>CONCATENATE(IF(CB297&gt;0,"kotlovnica/toplotna postaja, ",""),IF(CF297&gt;0,"razsvetljava, ",""),IF(CG297&gt;0,"energetsko upravljanje, ",""),IF(CH297&gt;0,"manjši investicijski in organizacijski ukrepi, ",""))</f>
        <v xml:space="preserve">razsvetljava, energetsko upravljanje, manjši investicijski in organizacijski ukrepi, </v>
      </c>
      <c r="CM297" s="9">
        <f>+CJ297*0.9</f>
        <v>6252.0749999999998</v>
      </c>
      <c r="CN297" s="9">
        <f>+CJ297*0.9</f>
        <v>6252.0749999999998</v>
      </c>
      <c r="CO297" s="9">
        <f>+CJ297*0.9</f>
        <v>6252.0749999999998</v>
      </c>
      <c r="CP297" s="69">
        <f>+IF(CI297-SUM(CM297:CO297)&lt;0,0,CI297-SUM(CM297:CO297))</f>
        <v>20116.275000000001</v>
      </c>
      <c r="CQ297" s="9">
        <f>+(BQ297*CE297*faktorji!$B$24)+(BQ297^0.5*CC297*4*4*0.66*faktorji!$B$22)+(BQ297^0.5*CD297*4*4*0.33*faktorji!$B$25)</f>
        <v>26291.007010002486</v>
      </c>
      <c r="CR297" s="3" t="str">
        <f t="shared" si="221"/>
        <v xml:space="preserve">izolacija ovoja, </v>
      </c>
      <c r="CS297" s="9">
        <f>+BQ297*('MOL_tabela rezultatov'!CH297*faktorji!$B$26)+faktorji!$B$27*CG297</f>
        <v>19897.5</v>
      </c>
      <c r="CT297" s="3" t="str">
        <f t="shared" si="219"/>
        <v xml:space="preserve">energetsko upravljanje, manjši investicijski in organizacijski ukrepi, </v>
      </c>
      <c r="CU297" s="9">
        <f t="shared" si="251"/>
        <v>4974.375</v>
      </c>
      <c r="CV297" s="9">
        <f t="shared" ref="CV297:CX297" si="278">+CU297</f>
        <v>4974.375</v>
      </c>
      <c r="CW297" s="9">
        <f t="shared" si="278"/>
        <v>4974.375</v>
      </c>
      <c r="CX297" s="69">
        <f t="shared" si="278"/>
        <v>4974.375</v>
      </c>
    </row>
    <row r="298" spans="1:102" s="10" customFormat="1" ht="18" hidden="1" customHeight="1">
      <c r="A298" s="53" t="s">
        <v>789</v>
      </c>
      <c r="B298" s="2" t="s">
        <v>790</v>
      </c>
      <c r="C298" s="57"/>
      <c r="D298" s="57"/>
      <c r="E298" s="51" t="s">
        <v>1176</v>
      </c>
      <c r="F298" s="51"/>
      <c r="G298" s="51">
        <v>2</v>
      </c>
      <c r="H298" s="51" t="s">
        <v>1254</v>
      </c>
      <c r="I298" s="51"/>
      <c r="J298" s="51">
        <v>2</v>
      </c>
      <c r="K298" s="37" t="s">
        <v>1243</v>
      </c>
      <c r="L298" s="50"/>
      <c r="M298" s="4" t="s">
        <v>6</v>
      </c>
      <c r="N298" s="25"/>
      <c r="O298" s="25">
        <v>166.3</v>
      </c>
      <c r="P298" s="25"/>
      <c r="Q298" s="25"/>
      <c r="R298" s="25"/>
      <c r="S298" s="25"/>
      <c r="T298" s="25">
        <v>25.483000000000001</v>
      </c>
      <c r="U298" s="25">
        <v>191.78300000000002</v>
      </c>
      <c r="V298" s="30">
        <v>25.534068136272545</v>
      </c>
      <c r="W298" s="30">
        <v>166.63326653306612</v>
      </c>
      <c r="X298" s="31"/>
      <c r="Y298" s="31"/>
      <c r="Z298" s="31"/>
      <c r="AA298" s="31"/>
      <c r="AB298" s="31"/>
      <c r="AC298" s="31"/>
      <c r="AD298" s="31"/>
      <c r="AE298" s="32"/>
      <c r="AF298" s="16" t="s">
        <v>791</v>
      </c>
      <c r="AG298" s="3">
        <v>1987</v>
      </c>
      <c r="AH298" s="4"/>
      <c r="AI298" s="6">
        <v>998</v>
      </c>
      <c r="AJ298" s="38">
        <v>100</v>
      </c>
      <c r="AK298" s="3"/>
      <c r="AL298" s="1" t="s">
        <v>421</v>
      </c>
      <c r="AM298" s="37"/>
      <c r="AN298" s="37"/>
      <c r="AO298" s="37"/>
      <c r="AP298" s="37"/>
      <c r="AQ298" s="37"/>
      <c r="AR298" s="37"/>
      <c r="AS298" s="37"/>
      <c r="AT298" s="37"/>
      <c r="AU298" s="37"/>
      <c r="AV298" s="37"/>
      <c r="AW298" s="37"/>
      <c r="AX298" s="37"/>
      <c r="AY298" s="37"/>
      <c r="AZ298" s="37"/>
      <c r="BA298" s="37"/>
      <c r="BB298" s="37"/>
      <c r="BC298" s="37">
        <v>73.77</v>
      </c>
      <c r="BD298" s="37">
        <v>75.400000000000006</v>
      </c>
      <c r="BE298" s="37">
        <v>70.44</v>
      </c>
      <c r="BF298" s="37">
        <v>68.7</v>
      </c>
      <c r="BG298" s="42"/>
      <c r="BH298" s="42">
        <v>238.3</v>
      </c>
      <c r="BI298" s="42"/>
      <c r="BJ298" s="42"/>
      <c r="BK298" s="44">
        <v>238.3</v>
      </c>
      <c r="BL298" s="44">
        <v>72.077500000000001</v>
      </c>
      <c r="BM298" s="44">
        <f>+BK298+BL298</f>
        <v>310.3775</v>
      </c>
      <c r="BN298" s="47">
        <v>298.24780976220273</v>
      </c>
      <c r="BO298" s="47">
        <v>90.20963704630789</v>
      </c>
      <c r="BP298" s="45">
        <v>388.45744680851061</v>
      </c>
      <c r="BQ298" s="9">
        <v>799</v>
      </c>
      <c r="BR298" s="4">
        <v>160</v>
      </c>
      <c r="BS298" s="4">
        <v>1987</v>
      </c>
      <c r="BT298" s="4" t="s">
        <v>872</v>
      </c>
      <c r="BU298" s="4" t="s">
        <v>960</v>
      </c>
      <c r="BV298" s="4" t="s">
        <v>961</v>
      </c>
      <c r="BW298" s="4" t="s">
        <v>962</v>
      </c>
      <c r="BX298" s="4"/>
      <c r="BY298" s="9">
        <f>+INT(BK298*faktorji!$B$5)</f>
        <v>22638</v>
      </c>
      <c r="BZ298" s="9">
        <f>+INT(BL298*faktorji!$B$4)</f>
        <v>11892</v>
      </c>
      <c r="CA298" s="3" t="s">
        <v>1311</v>
      </c>
      <c r="CB298" s="4">
        <v>1</v>
      </c>
      <c r="CC298" s="4">
        <v>1</v>
      </c>
      <c r="CD298" s="4">
        <v>1</v>
      </c>
      <c r="CE298" s="4">
        <v>0</v>
      </c>
      <c r="CF298" s="4">
        <v>1</v>
      </c>
      <c r="CG298" s="4">
        <v>1</v>
      </c>
      <c r="CH298" s="4">
        <v>1</v>
      </c>
      <c r="CI298" s="9">
        <f>+BQ298*(CB298*faktorji!$B$21+'MOL_tabela rezultatov'!CF286*faktorji!$B$23+'MOL_tabela rezultatov'!CH286*faktorji!$B$26)+faktorji!$B$27*CG298</f>
        <v>43168.5</v>
      </c>
      <c r="CJ298" s="9">
        <f>+(BZ298*CF298*faktorji!$B$18)+(CG298*faktorji!$B$17*('MOL_tabela rezultatov'!BY286+'MOL_tabela rezultatov'!BZ286))+('MOL_tabela rezultatov'!CH286*faktorji!$B$16*'MOL_tabela rezultatov'!BY286)+('MOL_tabela rezultatov'!CB286*faktorji!$B$12*'MOL_tabela rezultatov'!BY286)</f>
        <v>1996.5</v>
      </c>
      <c r="CK298" s="66">
        <f>+CI298/CJ298</f>
        <v>21.622088655146506</v>
      </c>
      <c r="CL298" s="3" t="str">
        <f>CONCATENATE(IF(CB298&gt;0,"kotlovnica/toplotna postaja, ",""),IF(CF298&gt;0,"razsvetljava, ",""),IF(CG298&gt;0,"energetsko upravljanje, ",""),IF(CH298&gt;0,"manjši investicijski in organizacijski ukrepi, ",""))</f>
        <v xml:space="preserve">kotlovnica/toplotna postaja, razsvetljava, energetsko upravljanje, manjši investicijski in organizacijski ukrepi, </v>
      </c>
      <c r="CM298" s="9">
        <f>+CJ298*0.9</f>
        <v>1796.8500000000001</v>
      </c>
      <c r="CN298" s="9">
        <f>+CJ298*0.9</f>
        <v>1796.8500000000001</v>
      </c>
      <c r="CO298" s="9">
        <f>+CJ298*0.9</f>
        <v>1796.8500000000001</v>
      </c>
      <c r="CP298" s="69">
        <f>+IF(CI298-SUM(CM298:CO298)&lt;0,0,CI298-SUM(CM298:CO298))</f>
        <v>37777.949999999997</v>
      </c>
      <c r="CQ298" s="9">
        <f>+(BQ298*CE298*faktorji!$B$24)+(BQ298^0.5*CC298*4*4*0.66*faktorji!$B$22)+(BQ298^0.5*CD298*4*4*0.33*faktorji!$B$25)</f>
        <v>58206.558112982428</v>
      </c>
      <c r="CR298" s="3" t="str">
        <f t="shared" si="221"/>
        <v xml:space="preserve">izolacija ovoja, stavbno pohištvo, </v>
      </c>
      <c r="CS298" s="9">
        <f>+BQ298*('MOL_tabela rezultatov'!CH298*faktorji!$B$26)+faktorji!$B$27*CG298</f>
        <v>19198.5</v>
      </c>
      <c r="CT298" s="3" t="str">
        <f t="shared" si="219"/>
        <v xml:space="preserve">energetsko upravljanje, manjši investicijski in organizacijski ukrepi, </v>
      </c>
      <c r="CU298" s="9">
        <f t="shared" si="251"/>
        <v>4799.625</v>
      </c>
      <c r="CV298" s="9">
        <f t="shared" ref="CV298:CX298" si="279">+CU298</f>
        <v>4799.625</v>
      </c>
      <c r="CW298" s="9">
        <f t="shared" si="279"/>
        <v>4799.625</v>
      </c>
      <c r="CX298" s="69">
        <f t="shared" si="279"/>
        <v>4799.625</v>
      </c>
    </row>
    <row r="299" spans="1:102" s="10" customFormat="1" ht="18" customHeight="1">
      <c r="A299" s="117" t="s">
        <v>1395</v>
      </c>
      <c r="B299" s="147" t="s">
        <v>104</v>
      </c>
      <c r="C299" s="56" t="s">
        <v>1375</v>
      </c>
      <c r="D299" s="56" t="s">
        <v>1376</v>
      </c>
      <c r="E299" s="51" t="s">
        <v>1167</v>
      </c>
      <c r="F299" s="51"/>
      <c r="G299" s="51">
        <v>2</v>
      </c>
      <c r="H299" s="51" t="s">
        <v>1255</v>
      </c>
      <c r="I299" s="51"/>
      <c r="J299" s="51">
        <v>4</v>
      </c>
      <c r="K299" s="37" t="s">
        <v>1243</v>
      </c>
      <c r="L299" s="50"/>
      <c r="M299" s="110" t="s">
        <v>6</v>
      </c>
      <c r="N299" s="25"/>
      <c r="O299" s="25">
        <v>379.9</v>
      </c>
      <c r="P299" s="25"/>
      <c r="Q299" s="25"/>
      <c r="R299" s="25"/>
      <c r="S299" s="25"/>
      <c r="T299" s="25">
        <v>110.55</v>
      </c>
      <c r="U299" s="25">
        <v>490.45</v>
      </c>
      <c r="V299" s="30">
        <v>65.960620525059653</v>
      </c>
      <c r="W299" s="30">
        <v>226.6706443914081</v>
      </c>
      <c r="X299" s="31"/>
      <c r="Y299" s="31"/>
      <c r="Z299" s="31"/>
      <c r="AA299" s="31"/>
      <c r="AB299" s="31"/>
      <c r="AC299" s="31">
        <v>108.92</v>
      </c>
      <c r="AD299" s="31"/>
      <c r="AE299" s="32">
        <v>0</v>
      </c>
      <c r="AF299" s="1">
        <v>381</v>
      </c>
      <c r="AG299" s="4">
        <v>1992</v>
      </c>
      <c r="AH299" s="4" t="s">
        <v>105</v>
      </c>
      <c r="AI299" s="6">
        <v>1676</v>
      </c>
      <c r="AJ299" s="38">
        <v>93</v>
      </c>
      <c r="AK299" s="3"/>
      <c r="AL299" s="1" t="s">
        <v>95</v>
      </c>
      <c r="AM299" s="37"/>
      <c r="AN299" s="37"/>
      <c r="AO299" s="37"/>
      <c r="AP299" s="37"/>
      <c r="AQ299" s="37">
        <f>(35000*9.5)/1000</f>
        <v>332.5</v>
      </c>
      <c r="AR299" s="37">
        <f>(42200*9.5)/1000</f>
        <v>400.9</v>
      </c>
      <c r="AS299" s="37">
        <f>(39700*9.5)/1000</f>
        <v>377.15</v>
      </c>
      <c r="AT299" s="37">
        <f>(42300*9.5)/1000</f>
        <v>401.85</v>
      </c>
      <c r="AU299" s="37"/>
      <c r="AV299" s="37"/>
      <c r="AW299" s="37"/>
      <c r="AX299" s="37"/>
      <c r="AY299" s="37"/>
      <c r="AZ299" s="37"/>
      <c r="BA299" s="37"/>
      <c r="BB299" s="37"/>
      <c r="BC299" s="37">
        <v>122.7</v>
      </c>
      <c r="BD299" s="37">
        <v>161</v>
      </c>
      <c r="BE299" s="37">
        <v>166.5</v>
      </c>
      <c r="BF299" s="37">
        <v>168.9</v>
      </c>
      <c r="BG299" s="42"/>
      <c r="BH299" s="42">
        <v>378.1</v>
      </c>
      <c r="BI299" s="42"/>
      <c r="BJ299" s="42"/>
      <c r="BK299" s="107">
        <v>332.2</v>
      </c>
      <c r="BL299" s="107">
        <v>122.7</v>
      </c>
      <c r="BM299" s="107">
        <f>+BK299+BL299</f>
        <v>454.9</v>
      </c>
      <c r="BN299" s="108">
        <f>+BK299/BQ299*1000</f>
        <v>185.27607361963189</v>
      </c>
      <c r="BO299" s="108">
        <f>+BL299*1000/BQ299</f>
        <v>68.432794199665366</v>
      </c>
      <c r="BP299" s="109">
        <f>+BO299+BN299</f>
        <v>253.70886781929727</v>
      </c>
      <c r="BQ299" s="106">
        <v>1793</v>
      </c>
      <c r="BR299" s="110">
        <v>340</v>
      </c>
      <c r="BS299" s="110">
        <v>1992</v>
      </c>
      <c r="BT299" s="110" t="s">
        <v>1082</v>
      </c>
      <c r="BU299" s="1" t="s">
        <v>1084</v>
      </c>
      <c r="BV299" s="4" t="s">
        <v>898</v>
      </c>
      <c r="BW299" s="4"/>
      <c r="BX299" s="4"/>
      <c r="BY299" s="106">
        <v>24073</v>
      </c>
      <c r="BZ299" s="106">
        <v>20733</v>
      </c>
      <c r="CA299" s="111" t="s">
        <v>1408</v>
      </c>
      <c r="CB299" s="4">
        <v>1</v>
      </c>
      <c r="CC299" s="4">
        <v>1</v>
      </c>
      <c r="CD299" s="4">
        <v>0</v>
      </c>
      <c r="CE299" s="4">
        <v>1</v>
      </c>
      <c r="CF299" s="4">
        <v>1</v>
      </c>
      <c r="CG299" s="4">
        <v>1</v>
      </c>
      <c r="CH299" s="4">
        <v>1</v>
      </c>
      <c r="CI299" s="106">
        <v>59500</v>
      </c>
      <c r="CJ299" s="106">
        <v>9700</v>
      </c>
      <c r="CK299" s="66">
        <f>+CI299/CJ299</f>
        <v>6.1340206185567014</v>
      </c>
      <c r="CL299" s="3" t="str">
        <f>CONCATENATE(IF(CB299&gt;0,"kotlovnica/toplotna postaja, ",""),IF(CF299&gt;0,"razsvetljava, ",""),IF(CG299&gt;0,"energetsko upravljanje, ",""),IF(CH299&gt;0,"manjši investicijski in organizacijski ukrepi, ",""))</f>
        <v xml:space="preserve">kotlovnica/toplotna postaja, razsvetljava, energetsko upravljanje, manjši investicijski in organizacijski ukrepi, </v>
      </c>
      <c r="CM299" s="9">
        <f>+CJ299*0.9</f>
        <v>8730</v>
      </c>
      <c r="CN299" s="9">
        <f>+CJ299*0.9</f>
        <v>8730</v>
      </c>
      <c r="CO299" s="9">
        <f>+CJ299*0.9</f>
        <v>8730</v>
      </c>
      <c r="CP299" s="69">
        <f>+IF(CI299-SUM(CM299:CO299)&lt;0,0,CI299-SUM(CM299:CO299))</f>
        <v>33310</v>
      </c>
      <c r="CQ299" s="9">
        <f>+(BQ299*CE299*faktorji!$B$24)+(BQ299^0.5*CC299*4*4*0.66*faktorji!$B$22)+(BQ299^0.5*CD299*4*4*0.33*faktorji!$B$25)</f>
        <v>67160.559667839814</v>
      </c>
      <c r="CR299" s="3" t="str">
        <f t="shared" si="221"/>
        <v xml:space="preserve">izolacija ovoja, izolacija podstrešja, </v>
      </c>
      <c r="CS299" s="9">
        <f>+BQ299*('MOL_tabela rezultatov'!CH299*faktorji!$B$26)+faktorji!$B$27*CG299</f>
        <v>20689.5</v>
      </c>
      <c r="CT299" s="3" t="str">
        <f t="shared" si="219"/>
        <v xml:space="preserve">energetsko upravljanje, manjši investicijski in organizacijski ukrepi, </v>
      </c>
      <c r="CU299" s="9">
        <f t="shared" si="251"/>
        <v>5172.375</v>
      </c>
      <c r="CV299" s="9">
        <f t="shared" ref="CV299:CX299" si="280">+CU299</f>
        <v>5172.375</v>
      </c>
      <c r="CW299" s="9">
        <f t="shared" si="280"/>
        <v>5172.375</v>
      </c>
      <c r="CX299" s="69">
        <f t="shared" si="280"/>
        <v>5172.375</v>
      </c>
    </row>
    <row r="300" spans="1:102" s="10" customFormat="1" ht="18" hidden="1" customHeight="1">
      <c r="A300" s="54" t="s">
        <v>1404</v>
      </c>
      <c r="B300" s="3" t="s">
        <v>1405</v>
      </c>
      <c r="C300" s="4"/>
      <c r="D300" s="4"/>
      <c r="E300" s="51" t="s">
        <v>1167</v>
      </c>
      <c r="F300" s="51"/>
      <c r="G300" s="51">
        <v>3</v>
      </c>
      <c r="H300" s="51"/>
      <c r="I300" s="51"/>
      <c r="J300" s="51">
        <v>7</v>
      </c>
      <c r="K300" s="51"/>
      <c r="L300" s="50"/>
      <c r="M300" s="4" t="s">
        <v>1416</v>
      </c>
      <c r="N300" s="5"/>
      <c r="O300" s="5"/>
      <c r="P300" s="5"/>
      <c r="Q300" s="5"/>
      <c r="R300" s="5"/>
      <c r="S300" s="5"/>
      <c r="T300" s="5"/>
      <c r="U300" s="4"/>
      <c r="V300" s="4"/>
      <c r="W300" s="6"/>
      <c r="X300" s="5"/>
      <c r="Y300" s="5"/>
      <c r="Z300" s="5"/>
      <c r="AA300" s="5"/>
      <c r="AB300" s="5"/>
      <c r="AC300" s="5"/>
      <c r="AD300" s="5"/>
      <c r="AE300" s="6"/>
      <c r="AF300" s="1"/>
      <c r="AG300" s="4"/>
      <c r="AH300" s="4"/>
      <c r="AI300" s="4"/>
      <c r="AJ300" s="4"/>
      <c r="AK300" s="3"/>
      <c r="AL300" s="1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7"/>
      <c r="BL300" s="7"/>
      <c r="BM300" s="44">
        <f>+BK300+BL300</f>
        <v>0</v>
      </c>
      <c r="BN300" s="4"/>
      <c r="BO300" s="6"/>
      <c r="BP300" s="6"/>
      <c r="BQ300" s="9">
        <v>950</v>
      </c>
      <c r="BR300" s="4"/>
      <c r="BS300" s="4"/>
      <c r="BT300" s="4"/>
      <c r="BU300" s="4"/>
      <c r="BV300" s="4"/>
      <c r="BW300" s="4"/>
      <c r="BX300" s="4"/>
      <c r="BY300" s="4"/>
      <c r="BZ300" s="4"/>
      <c r="CA300" s="72"/>
      <c r="CB300" s="4"/>
      <c r="CC300" s="4"/>
      <c r="CD300" s="4"/>
      <c r="CE300" s="4"/>
      <c r="CF300" s="4"/>
      <c r="CG300" s="4"/>
      <c r="CH300" s="4"/>
      <c r="CI300" s="9"/>
      <c r="CJ300" s="9"/>
      <c r="CK300" s="66"/>
      <c r="CL300" s="3"/>
      <c r="CM300" s="9"/>
      <c r="CN300" s="9"/>
      <c r="CO300" s="9"/>
      <c r="CP300" s="69"/>
      <c r="CQ300" s="9">
        <f>+(BQ300*CE300*faktorji!$B$24)+(BQ300^0.5*CC300*4*4*0.66*faktorji!$B$22)+(BQ300^0.5*CD300*4*4*0.33*faktorji!$B$25)</f>
        <v>0</v>
      </c>
      <c r="CR300" s="3" t="str">
        <f t="shared" si="221"/>
        <v/>
      </c>
      <c r="CS300" s="9">
        <f>+BQ300*('MOL_tabela rezultatov'!CH300*faktorji!$B$26)+faktorji!$B$27*CG300</f>
        <v>0</v>
      </c>
      <c r="CT300" s="3" t="str">
        <f t="shared" si="219"/>
        <v/>
      </c>
      <c r="CU300" s="9">
        <f t="shared" si="251"/>
        <v>0</v>
      </c>
      <c r="CV300" s="9">
        <f t="shared" ref="CV300:CX300" si="281">+CU300</f>
        <v>0</v>
      </c>
      <c r="CW300" s="9">
        <f t="shared" si="281"/>
        <v>0</v>
      </c>
      <c r="CX300" s="69">
        <f t="shared" si="281"/>
        <v>0</v>
      </c>
    </row>
    <row r="301" spans="1:102" s="10" customFormat="1" ht="18" hidden="1" customHeight="1">
      <c r="A301" s="53" t="s">
        <v>733</v>
      </c>
      <c r="B301" s="2" t="s">
        <v>734</v>
      </c>
      <c r="C301" s="57"/>
      <c r="D301" s="57"/>
      <c r="E301" s="51" t="s">
        <v>1176</v>
      </c>
      <c r="F301" s="51"/>
      <c r="G301" s="51" t="s">
        <v>1366</v>
      </c>
      <c r="H301" s="51" t="s">
        <v>1255</v>
      </c>
      <c r="I301" s="77" t="s">
        <v>1334</v>
      </c>
      <c r="J301" s="51">
        <v>1</v>
      </c>
      <c r="K301" s="37" t="s">
        <v>1243</v>
      </c>
      <c r="L301" s="50">
        <v>2013</v>
      </c>
      <c r="M301" s="110" t="s">
        <v>5</v>
      </c>
      <c r="N301" s="25">
        <v>173</v>
      </c>
      <c r="O301" s="25"/>
      <c r="P301" s="25"/>
      <c r="Q301" s="25"/>
      <c r="R301" s="25"/>
      <c r="S301" s="25"/>
      <c r="T301" s="25">
        <v>45.099999999999994</v>
      </c>
      <c r="U301" s="25">
        <v>218.1</v>
      </c>
      <c r="V301" s="30">
        <v>47.978723404255312</v>
      </c>
      <c r="W301" s="30">
        <v>184.04255319148936</v>
      </c>
      <c r="X301" s="31"/>
      <c r="Y301" s="31"/>
      <c r="Z301" s="31"/>
      <c r="AA301" s="31"/>
      <c r="AB301" s="31"/>
      <c r="AC301" s="31"/>
      <c r="AD301" s="31"/>
      <c r="AE301" s="32"/>
      <c r="AF301" s="16" t="s">
        <v>526</v>
      </c>
      <c r="AG301" s="3"/>
      <c r="AH301" s="4"/>
      <c r="AI301" s="6">
        <v>940</v>
      </c>
      <c r="AJ301" s="38">
        <v>100</v>
      </c>
      <c r="AK301" s="3"/>
      <c r="AL301" s="1" t="s">
        <v>735</v>
      </c>
      <c r="AM301" s="37">
        <f>120+58.3</f>
        <v>178.3</v>
      </c>
      <c r="AN301" s="37">
        <f>222+87.8</f>
        <v>309.8</v>
      </c>
      <c r="AO301" s="37">
        <f>181+64.6</f>
        <v>245.6</v>
      </c>
      <c r="AP301" s="37">
        <f>173+72.3</f>
        <v>245.3</v>
      </c>
      <c r="AQ301" s="37"/>
      <c r="AR301" s="37"/>
      <c r="AS301" s="37"/>
      <c r="AT301" s="37"/>
      <c r="AU301" s="37"/>
      <c r="AV301" s="37"/>
      <c r="AW301" s="37"/>
      <c r="AX301" s="37"/>
      <c r="AY301" s="37"/>
      <c r="AZ301" s="37"/>
      <c r="BA301" s="37"/>
      <c r="BB301" s="37"/>
      <c r="BC301" s="37">
        <v>38</v>
      </c>
      <c r="BD301" s="37">
        <v>39.6</v>
      </c>
      <c r="BE301" s="37">
        <v>37.200000000000003</v>
      </c>
      <c r="BF301" s="37">
        <v>40.1</v>
      </c>
      <c r="BG301" s="42">
        <v>244.75</v>
      </c>
      <c r="BH301" s="42"/>
      <c r="BI301" s="42"/>
      <c r="BJ301" s="42"/>
      <c r="BK301" s="107">
        <v>245.2</v>
      </c>
      <c r="BL301" s="107">
        <v>37.200000000000003</v>
      </c>
      <c r="BM301" s="107">
        <f>+BK301+BL301</f>
        <v>282.39999999999998</v>
      </c>
      <c r="BN301" s="108">
        <f>+BK301*1000/BQ301</f>
        <v>270.64017660044152</v>
      </c>
      <c r="BO301" s="108">
        <f>+BL301*1000/BQ301</f>
        <v>41.059602649006621</v>
      </c>
      <c r="BP301" s="109">
        <f>+BO301+BN301</f>
        <v>311.69977924944817</v>
      </c>
      <c r="BQ301" s="106">
        <v>906</v>
      </c>
      <c r="BR301" s="110">
        <v>217</v>
      </c>
      <c r="BS301" s="110">
        <v>1977</v>
      </c>
      <c r="BT301" s="110" t="s">
        <v>872</v>
      </c>
      <c r="BU301" s="4" t="s">
        <v>930</v>
      </c>
      <c r="BV301" s="4" t="s">
        <v>935</v>
      </c>
      <c r="BW301" s="4"/>
      <c r="BX301" s="4" t="s">
        <v>936</v>
      </c>
      <c r="BY301" s="106">
        <v>9530</v>
      </c>
      <c r="BZ301" s="106">
        <v>4860</v>
      </c>
      <c r="CA301" s="114" t="s">
        <v>1434</v>
      </c>
      <c r="CB301" s="4">
        <v>0</v>
      </c>
      <c r="CC301" s="4">
        <v>0</v>
      </c>
      <c r="CD301" s="4">
        <v>0</v>
      </c>
      <c r="CE301" s="4">
        <v>0</v>
      </c>
      <c r="CF301" s="4">
        <v>0</v>
      </c>
      <c r="CG301" s="4">
        <v>0</v>
      </c>
      <c r="CH301" s="4">
        <v>0</v>
      </c>
      <c r="CI301" s="106">
        <v>52000</v>
      </c>
      <c r="CJ301" s="106">
        <v>2600</v>
      </c>
      <c r="CK301" s="115">
        <f>+CI301/CJ301</f>
        <v>20</v>
      </c>
      <c r="CL301" s="3" t="str">
        <f>CONCATENATE(IF(CB301&gt;0,"kotlovnica/toplotna postaja, ",""),IF(CF301&gt;0,"razsvetljava, ",""),IF(CG301&gt;0,"energetsko upravljanje, ",""),IF(CH301&gt;0,"manjši investicijski in organizacijski ukrepi, ",""))</f>
        <v/>
      </c>
      <c r="CM301" s="9">
        <f>+CJ301*0.9</f>
        <v>2340</v>
      </c>
      <c r="CN301" s="9">
        <f>+CJ301*0.9</f>
        <v>2340</v>
      </c>
      <c r="CO301" s="9">
        <f>+CJ301*0.9</f>
        <v>2340</v>
      </c>
      <c r="CP301" s="69">
        <f>+IF(CI301-SUM(CM301:CO301)&lt;0,0,CI301-SUM(CM301:CO301))</f>
        <v>44980</v>
      </c>
      <c r="CQ301" s="9">
        <f>+(BQ301*CE301*faktorji!$B$24)+(BQ301^0.5*CC301*4*4*0.66*faktorji!$B$22)+(BQ301^0.5*CD301*4*4*0.33*faktorji!$B$25)</f>
        <v>0</v>
      </c>
      <c r="CR301" s="3" t="str">
        <f t="shared" si="221"/>
        <v/>
      </c>
      <c r="CS301" s="9">
        <f>+BQ301*('MOL_tabela rezultatov'!CH301*faktorji!$B$26)+faktorji!$B$27*CG301</f>
        <v>0</v>
      </c>
      <c r="CT301" s="3" t="str">
        <f t="shared" ref="CT301:CT308" si="282">CONCATENATE(IF(CG301&gt;0,"energetsko upravljanje, ",""),IF(CH301&gt;0,"manjši investicijski in organizacijski ukrepi, ",""))</f>
        <v/>
      </c>
      <c r="CU301" s="9">
        <f t="shared" si="251"/>
        <v>0</v>
      </c>
      <c r="CV301" s="9">
        <f t="shared" ref="CV301:CX301" si="283">+CU301</f>
        <v>0</v>
      </c>
      <c r="CW301" s="9">
        <f t="shared" si="283"/>
        <v>0</v>
      </c>
      <c r="CX301" s="69">
        <f t="shared" si="283"/>
        <v>0</v>
      </c>
    </row>
    <row r="302" spans="1:102" s="10" customFormat="1" ht="18" hidden="1" customHeight="1">
      <c r="A302" s="54" t="s">
        <v>1337</v>
      </c>
      <c r="B302" s="3" t="s">
        <v>1338</v>
      </c>
      <c r="C302" s="4"/>
      <c r="D302" s="4"/>
      <c r="E302" s="51" t="s">
        <v>1339</v>
      </c>
      <c r="F302" s="51"/>
      <c r="G302" s="51">
        <v>3</v>
      </c>
      <c r="H302" s="51"/>
      <c r="I302" s="51"/>
      <c r="J302" s="51">
        <v>7</v>
      </c>
      <c r="K302" s="51"/>
      <c r="L302" s="50"/>
      <c r="M302" s="4" t="s">
        <v>7</v>
      </c>
      <c r="N302" s="5"/>
      <c r="O302" s="5"/>
      <c r="P302" s="5"/>
      <c r="Q302" s="5"/>
      <c r="R302" s="5"/>
      <c r="S302" s="5"/>
      <c r="T302" s="5"/>
      <c r="U302" s="4"/>
      <c r="V302" s="4"/>
      <c r="W302" s="6"/>
      <c r="X302" s="5"/>
      <c r="Y302" s="5"/>
      <c r="Z302" s="5"/>
      <c r="AA302" s="5"/>
      <c r="AB302" s="5"/>
      <c r="AC302" s="5"/>
      <c r="AD302" s="5"/>
      <c r="AE302" s="6"/>
      <c r="AF302" s="1"/>
      <c r="AG302" s="4"/>
      <c r="AH302" s="4"/>
      <c r="AI302" s="4"/>
      <c r="AJ302" s="4"/>
      <c r="AK302" s="3"/>
      <c r="AL302" s="1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7"/>
      <c r="BL302" s="7"/>
      <c r="BM302" s="44">
        <f>+BK302+BL302</f>
        <v>0</v>
      </c>
      <c r="BN302" s="4"/>
      <c r="BO302" s="6"/>
      <c r="BP302" s="6"/>
      <c r="BQ302" s="9"/>
      <c r="BR302" s="4"/>
      <c r="BS302" s="4"/>
      <c r="BT302" s="4"/>
      <c r="BU302" s="4"/>
      <c r="BV302" s="4"/>
      <c r="BW302" s="4"/>
      <c r="BX302" s="4"/>
      <c r="BY302" s="4"/>
      <c r="BZ302" s="4"/>
      <c r="CA302" s="72" t="s">
        <v>1340</v>
      </c>
      <c r="CB302" s="4">
        <v>0</v>
      </c>
      <c r="CC302" s="4">
        <v>0</v>
      </c>
      <c r="CD302" s="4">
        <v>0</v>
      </c>
      <c r="CE302" s="4">
        <v>0</v>
      </c>
      <c r="CF302" s="4">
        <v>0</v>
      </c>
      <c r="CG302" s="4">
        <v>1</v>
      </c>
      <c r="CH302" s="4">
        <v>1</v>
      </c>
      <c r="CI302" s="9">
        <f>+BQ302*(CB302*faktorji!$B$21+'MOL_tabela rezultatov'!CF308*faktorji!$B$23+'MOL_tabela rezultatov'!CH308*faktorji!$B$26)+faktorji!$B$27*CG302</f>
        <v>18000</v>
      </c>
      <c r="CJ302" s="9">
        <f>+(BZ302*CF302*faktorji!$B$18)+(CG302*faktorji!$B$17*('MOL_tabela rezultatov'!BY308+'MOL_tabela rezultatov'!BZ308))+('MOL_tabela rezultatov'!CH308*faktorji!$B$16*'MOL_tabela rezultatov'!BY308)+('MOL_tabela rezultatov'!CB308*faktorji!$B$12*'MOL_tabela rezultatov'!BY308)</f>
        <v>1942.9</v>
      </c>
      <c r="CK302" s="66">
        <f>+CI302/CJ302</f>
        <v>9.2645015183488599</v>
      </c>
      <c r="CL302" s="3" t="str">
        <f>CONCATENATE(IF(CB302&gt;0,"kotlovnica/toplotna postaja, ",""),IF(CF302&gt;0,"razsvetljava, ",""),IF(CG302&gt;0,"energetsko upravljanje, ",""),IF(CH302&gt;0,"manjši investicijski in organizacijski ukrepi, ",""))</f>
        <v xml:space="preserve">energetsko upravljanje, manjši investicijski in organizacijski ukrepi, </v>
      </c>
      <c r="CM302" s="9">
        <f>+CJ302*0.9</f>
        <v>1748.6100000000001</v>
      </c>
      <c r="CN302" s="9">
        <f>+CJ302*0.9</f>
        <v>1748.6100000000001</v>
      </c>
      <c r="CO302" s="9">
        <f>+CJ302*0.9</f>
        <v>1748.6100000000001</v>
      </c>
      <c r="CP302" s="69">
        <f>+IF(CI302-SUM(CM302:CO302)&lt;0,0,CI302-SUM(CM302:CO302))</f>
        <v>12754.17</v>
      </c>
      <c r="CQ302" s="9">
        <f>+(BQ302*CE302*faktorji!$B$24)+(BQ302^0.5*CC302*4*4*0.66*faktorji!$B$22)+(BQ302^0.5*CD302*4*4*0.33*faktorji!$B$25)</f>
        <v>0</v>
      </c>
      <c r="CR302" s="3" t="str">
        <f t="shared" ref="CR302:CR308" si="284">CONCATENATE(IF(CC302&gt;0,"izolacija ovoja, ",""),IF(CD302&gt;0,"stavbno pohištvo, ",""),IF(CE302&gt;0,"izolacija podstrešja, ",""))</f>
        <v/>
      </c>
      <c r="CS302" s="9">
        <f>+BQ302*('MOL_tabela rezultatov'!CH302*faktorji!$B$26)+faktorji!$B$27*CG302</f>
        <v>18000</v>
      </c>
      <c r="CT302" s="3" t="str">
        <f t="shared" si="282"/>
        <v xml:space="preserve">energetsko upravljanje, manjši investicijski in organizacijski ukrepi, </v>
      </c>
      <c r="CU302" s="9">
        <f t="shared" si="251"/>
        <v>4500</v>
      </c>
      <c r="CV302" s="9">
        <f t="shared" ref="CV302:CX302" si="285">+CU302</f>
        <v>4500</v>
      </c>
      <c r="CW302" s="9">
        <f t="shared" si="285"/>
        <v>4500</v>
      </c>
      <c r="CX302" s="69">
        <f t="shared" si="285"/>
        <v>4500</v>
      </c>
    </row>
    <row r="303" spans="1:102" s="10" customFormat="1" ht="18" hidden="1" customHeight="1">
      <c r="A303" s="53" t="s">
        <v>698</v>
      </c>
      <c r="B303" s="2" t="s">
        <v>699</v>
      </c>
      <c r="C303" s="57"/>
      <c r="D303" s="57"/>
      <c r="E303" s="51" t="s">
        <v>1176</v>
      </c>
      <c r="F303" s="51"/>
      <c r="G303" s="51">
        <v>2</v>
      </c>
      <c r="H303" s="71" t="s">
        <v>1255</v>
      </c>
      <c r="I303" s="71"/>
      <c r="J303" s="51">
        <v>1</v>
      </c>
      <c r="K303" s="37" t="s">
        <v>1243</v>
      </c>
      <c r="L303" s="50"/>
      <c r="M303" s="110" t="s">
        <v>5</v>
      </c>
      <c r="N303" s="25"/>
      <c r="O303" s="25">
        <v>114.5</v>
      </c>
      <c r="P303" s="25"/>
      <c r="Q303" s="25"/>
      <c r="R303" s="25"/>
      <c r="S303" s="25"/>
      <c r="T303" s="25">
        <v>28.774999999999999</v>
      </c>
      <c r="U303" s="25">
        <v>143.27500000000001</v>
      </c>
      <c r="V303" s="30">
        <v>43.466767371601208</v>
      </c>
      <c r="W303" s="30">
        <v>172.9607250755287</v>
      </c>
      <c r="X303" s="31"/>
      <c r="Y303" s="31"/>
      <c r="Z303" s="31"/>
      <c r="AA303" s="31"/>
      <c r="AB303" s="31"/>
      <c r="AC303" s="31"/>
      <c r="AD303" s="31"/>
      <c r="AE303" s="32"/>
      <c r="AF303" s="16"/>
      <c r="AG303" s="3"/>
      <c r="AH303" s="4"/>
      <c r="AI303" s="6">
        <v>662</v>
      </c>
      <c r="AJ303" s="38">
        <v>100</v>
      </c>
      <c r="AK303" s="3"/>
      <c r="AL303" s="1" t="s">
        <v>700</v>
      </c>
      <c r="AM303" s="37">
        <v>118</v>
      </c>
      <c r="AN303" s="37">
        <v>111</v>
      </c>
      <c r="AO303" s="37">
        <v>106</v>
      </c>
      <c r="AP303" s="37">
        <v>108</v>
      </c>
      <c r="AQ303" s="37"/>
      <c r="AR303" s="37"/>
      <c r="AS303" s="37"/>
      <c r="AT303" s="37"/>
      <c r="AU303" s="37"/>
      <c r="AV303" s="37"/>
      <c r="AW303" s="37"/>
      <c r="AX303" s="37"/>
      <c r="AY303" s="37"/>
      <c r="AZ303" s="37"/>
      <c r="BA303" s="37"/>
      <c r="BB303" s="37"/>
      <c r="BC303" s="37">
        <v>8.1999999999999993</v>
      </c>
      <c r="BD303" s="37">
        <v>8.5</v>
      </c>
      <c r="BE303" s="37">
        <v>10.4</v>
      </c>
      <c r="BF303" s="37">
        <v>9.5</v>
      </c>
      <c r="BG303" s="42">
        <v>110.75</v>
      </c>
      <c r="BH303" s="42"/>
      <c r="BI303" s="42"/>
      <c r="BJ303" s="42"/>
      <c r="BK303" s="107">
        <v>104.7</v>
      </c>
      <c r="BL303" s="107">
        <v>9.4</v>
      </c>
      <c r="BM303" s="107">
        <f>+BK303+BL303</f>
        <v>114.10000000000001</v>
      </c>
      <c r="BN303" s="108">
        <f>+BK303*1000/BQ303</f>
        <v>242.92343387470999</v>
      </c>
      <c r="BO303" s="108">
        <f>+BL303*1000/BQ303</f>
        <v>21.809744779582367</v>
      </c>
      <c r="BP303" s="109">
        <f>+BO303+BN303</f>
        <v>264.73317865429237</v>
      </c>
      <c r="BQ303" s="106">
        <v>431</v>
      </c>
      <c r="BR303" s="110" t="s">
        <v>915</v>
      </c>
      <c r="BS303" s="110">
        <v>2008</v>
      </c>
      <c r="BT303" s="110" t="s">
        <v>916</v>
      </c>
      <c r="BU303" s="4"/>
      <c r="BV303" s="4" t="s">
        <v>912</v>
      </c>
      <c r="BW303" s="4"/>
      <c r="BX303" s="4"/>
      <c r="BY303" s="106">
        <v>6300</v>
      </c>
      <c r="BZ303" s="106">
        <v>1360</v>
      </c>
      <c r="CA303" s="114" t="s">
        <v>1323</v>
      </c>
      <c r="CB303" s="4">
        <v>0</v>
      </c>
      <c r="CC303" s="4">
        <v>1</v>
      </c>
      <c r="CD303" s="4">
        <v>0</v>
      </c>
      <c r="CE303" s="4">
        <v>0</v>
      </c>
      <c r="CF303" s="4">
        <v>1</v>
      </c>
      <c r="CG303" s="4">
        <v>1</v>
      </c>
      <c r="CH303" s="4">
        <v>1</v>
      </c>
      <c r="CI303" s="106">
        <f>79315-51660</f>
        <v>27655</v>
      </c>
      <c r="CJ303" s="106">
        <f>+(BZ303*CF303*faktorji!$B$18)+(CG303*faktorji!$B$17*('MOL_tabela rezultatov'!BY258+'MOL_tabela rezultatov'!BZ258))+('MOL_tabela rezultatov'!CH258*faktorji!$B$16*'MOL_tabela rezultatov'!BY258)+('MOL_tabela rezultatov'!CB258*faktorji!$B$12*'MOL_tabela rezultatov'!BY258)</f>
        <v>622.1</v>
      </c>
      <c r="CK303" s="115">
        <f>+CI303/CJ303</f>
        <v>44.454267802604079</v>
      </c>
      <c r="CL303" s="3" t="str">
        <f>CONCATENATE(IF(CB303&gt;0,"kotlovnica/toplotna postaja, ",""),IF(CF303&gt;0,"razsvetljava, ",""),IF(CG303&gt;0,"energetsko upravljanje, ",""),IF(CH303&gt;0,"manjši investicijski in organizacijski ukrepi, ",""))</f>
        <v xml:space="preserve">razsvetljava, energetsko upravljanje, manjši investicijski in organizacijski ukrepi, </v>
      </c>
      <c r="CM303" s="9">
        <f>+CJ303*0.9</f>
        <v>559.89</v>
      </c>
      <c r="CN303" s="9">
        <f>+CJ303*0.9</f>
        <v>559.89</v>
      </c>
      <c r="CO303" s="9">
        <f>+CJ303*0.9</f>
        <v>559.89</v>
      </c>
      <c r="CP303" s="69">
        <f>+IF(CI303-SUM(CM303:CO303)&lt;0,0,CI303-SUM(CM303:CO303))</f>
        <v>25975.33</v>
      </c>
      <c r="CQ303" s="9">
        <f>+(BQ303*CE303*faktorji!$B$24)+(BQ303^0.5*CC303*4*4*0.66*faktorji!$B$22)+(BQ303^0.5*CD303*4*4*0.33*faktorji!$B$25)</f>
        <v>15346.190792506133</v>
      </c>
      <c r="CR303" s="3" t="str">
        <f t="shared" si="284"/>
        <v xml:space="preserve">izolacija ovoja, </v>
      </c>
      <c r="CS303" s="9">
        <f>+BQ303*('MOL_tabela rezultatov'!CH303*faktorji!$B$26)+faktorji!$B$27*CG303</f>
        <v>18646.5</v>
      </c>
      <c r="CT303" s="3" t="str">
        <f t="shared" si="282"/>
        <v xml:space="preserve">energetsko upravljanje, manjši investicijski in organizacijski ukrepi, </v>
      </c>
      <c r="CU303" s="9">
        <f t="shared" si="251"/>
        <v>4661.625</v>
      </c>
      <c r="CV303" s="9">
        <f t="shared" ref="CV303:CX303" si="286">+CU303</f>
        <v>4661.625</v>
      </c>
      <c r="CW303" s="9">
        <f t="shared" si="286"/>
        <v>4661.625</v>
      </c>
      <c r="CX303" s="69">
        <f t="shared" si="286"/>
        <v>4661.625</v>
      </c>
    </row>
    <row r="304" spans="1:102" s="10" customFormat="1" ht="18" hidden="1" customHeight="1">
      <c r="A304" s="53" t="s">
        <v>175</v>
      </c>
      <c r="B304" s="142" t="s">
        <v>176</v>
      </c>
      <c r="C304" s="57"/>
      <c r="D304" s="57"/>
      <c r="E304" s="51" t="s">
        <v>1170</v>
      </c>
      <c r="F304" s="51"/>
      <c r="G304" s="51">
        <v>3</v>
      </c>
      <c r="H304" s="51"/>
      <c r="I304" s="51"/>
      <c r="J304" s="51">
        <v>6</v>
      </c>
      <c r="K304" s="37" t="s">
        <v>1243</v>
      </c>
      <c r="L304" s="50"/>
      <c r="M304" s="4" t="s">
        <v>5</v>
      </c>
      <c r="N304" s="26">
        <v>257.37</v>
      </c>
      <c r="O304" s="25"/>
      <c r="P304" s="25"/>
      <c r="Q304" s="25"/>
      <c r="R304" s="25"/>
      <c r="S304" s="25"/>
      <c r="T304" s="25">
        <v>63.203000000000003</v>
      </c>
      <c r="U304" s="25">
        <v>320.57299999999998</v>
      </c>
      <c r="V304" s="30">
        <v>30.562379110251452</v>
      </c>
      <c r="W304" s="30">
        <v>124.45357833655706</v>
      </c>
      <c r="X304" s="31">
        <v>257.43</v>
      </c>
      <c r="Y304" s="31"/>
      <c r="Z304" s="31"/>
      <c r="AA304" s="31"/>
      <c r="AB304" s="31"/>
      <c r="AC304" s="31">
        <v>66.930000000000007</v>
      </c>
      <c r="AD304" s="31"/>
      <c r="AE304" s="32">
        <v>124.4825918762089</v>
      </c>
      <c r="AF304" s="1">
        <v>0.22781000000000001</v>
      </c>
      <c r="AG304" s="4"/>
      <c r="AH304" s="4"/>
      <c r="AI304" s="6">
        <v>2068</v>
      </c>
      <c r="AJ304" s="38">
        <v>17</v>
      </c>
      <c r="AK304" s="34" t="s">
        <v>92</v>
      </c>
      <c r="AL304" s="1" t="s">
        <v>177</v>
      </c>
      <c r="AM304" s="38">
        <v>238.62</v>
      </c>
      <c r="AN304" s="38">
        <v>346.12</v>
      </c>
      <c r="AO304" s="38">
        <v>370.61</v>
      </c>
      <c r="AP304" s="38">
        <v>425.32</v>
      </c>
      <c r="AQ304" s="37"/>
      <c r="AR304" s="37"/>
      <c r="AS304" s="37"/>
      <c r="AT304" s="37"/>
      <c r="AU304" s="37"/>
      <c r="AV304" s="37"/>
      <c r="AW304" s="37"/>
      <c r="AX304" s="37"/>
      <c r="AY304" s="37"/>
      <c r="AZ304" s="37"/>
      <c r="BA304" s="37"/>
      <c r="BB304" s="37"/>
      <c r="BC304" s="37">
        <v>109.9</v>
      </c>
      <c r="BD304" s="37">
        <v>88.5</v>
      </c>
      <c r="BE304" s="37">
        <v>89.7</v>
      </c>
      <c r="BF304" s="37">
        <v>90.2</v>
      </c>
      <c r="BG304" s="42">
        <v>345.16750000000002</v>
      </c>
      <c r="BH304" s="42"/>
      <c r="BI304" s="42"/>
      <c r="BJ304" s="42"/>
      <c r="BK304" s="44">
        <v>345.16750000000002</v>
      </c>
      <c r="BL304" s="44">
        <v>94.575000000000003</v>
      </c>
      <c r="BM304" s="44">
        <f>+BK304+BL304</f>
        <v>439.74250000000001</v>
      </c>
      <c r="BN304" s="47">
        <v>143.81979166666667</v>
      </c>
      <c r="BO304" s="47">
        <v>39.40625</v>
      </c>
      <c r="BP304" s="45">
        <v>183.22604166666667</v>
      </c>
      <c r="BQ304" s="9">
        <v>2400</v>
      </c>
      <c r="BR304" s="4">
        <v>120</v>
      </c>
      <c r="BS304" s="4">
        <v>1990</v>
      </c>
      <c r="BT304" s="4" t="s">
        <v>1109</v>
      </c>
      <c r="BU304" s="4" t="s">
        <v>119</v>
      </c>
      <c r="BV304" s="4"/>
      <c r="BW304" s="4"/>
      <c r="BX304" s="4" t="s">
        <v>1132</v>
      </c>
      <c r="BY304" s="9">
        <f>+INT(BK304*faktorji!$B$3)</f>
        <v>22435</v>
      </c>
      <c r="BZ304" s="9">
        <f>+INT(BL304*faktorji!$B$4)</f>
        <v>15604</v>
      </c>
      <c r="CA304" s="4"/>
      <c r="CB304" s="4">
        <v>1</v>
      </c>
      <c r="CC304" s="4">
        <v>1</v>
      </c>
      <c r="CD304" s="4">
        <v>0</v>
      </c>
      <c r="CE304" s="4">
        <v>0</v>
      </c>
      <c r="CF304" s="4">
        <v>1</v>
      </c>
      <c r="CG304" s="4">
        <v>1</v>
      </c>
      <c r="CH304" s="4">
        <v>1</v>
      </c>
      <c r="CI304" s="9">
        <f>+BQ304*(CB304*faktorji!$B$21+'MOL_tabela rezultatov'!CF64*faktorji!$B$23+'MOL_tabela rezultatov'!CH64*faktorji!$B$26)+faktorji!$B$27*CG304</f>
        <v>93600</v>
      </c>
      <c r="CJ304" s="9">
        <f>+(BZ304*CF304*faktorji!$B$18)+(CG304*faktorji!$B$17*('MOL_tabela rezultatov'!BY64+'MOL_tabela rezultatov'!BZ64))+('MOL_tabela rezultatov'!CH64*faktorji!$B$16*'MOL_tabela rezultatov'!BY64)+('MOL_tabela rezultatov'!CB64*faktorji!$B$12*'MOL_tabela rezultatov'!BY64)</f>
        <v>21610.2</v>
      </c>
      <c r="CK304" s="66">
        <f>+CI304/CJ304</f>
        <v>4.3312880028875256</v>
      </c>
      <c r="CL304" s="3" t="str">
        <f>CONCATENATE(IF(CB304&gt;0,"kotlovnica/toplotna postaja, ",""),IF(CF304&gt;0,"razsvetljava, ",""),IF(CG304&gt;0,"energetsko upravljanje, ",""),IF(CH304&gt;0,"manjši investicijski in organizacijski ukrepi, ",""))</f>
        <v xml:space="preserve">kotlovnica/toplotna postaja, razsvetljava, energetsko upravljanje, manjši investicijski in organizacijski ukrepi, </v>
      </c>
      <c r="CM304" s="9">
        <f>+CJ304*0.9</f>
        <v>19449.18</v>
      </c>
      <c r="CN304" s="9">
        <f>+CJ304*0.9</f>
        <v>19449.18</v>
      </c>
      <c r="CO304" s="9">
        <f>+CJ304*0.9</f>
        <v>19449.18</v>
      </c>
      <c r="CP304" s="69">
        <f>+IF(CI304-SUM(CM304:CO304)&lt;0,0,CI304-SUM(CM304:CO304))</f>
        <v>35252.46</v>
      </c>
      <c r="CQ304" s="9">
        <f>+(BQ304*CE304*faktorji!$B$24)+(BQ304^0.5*CC304*4*4*0.66*faktorji!$B$22)+(BQ304^0.5*CD304*4*4*0.33*faktorji!$B$25)</f>
        <v>36213.256357306505</v>
      </c>
      <c r="CR304" s="3" t="str">
        <f t="shared" si="284"/>
        <v xml:space="preserve">izolacija ovoja, </v>
      </c>
      <c r="CS304" s="9">
        <f>+BQ304*('MOL_tabela rezultatov'!CH304*faktorji!$B$26)+faktorji!$B$27*CG304</f>
        <v>21600</v>
      </c>
      <c r="CT304" s="3" t="str">
        <f t="shared" si="282"/>
        <v xml:space="preserve">energetsko upravljanje, manjši investicijski in organizacijski ukrepi, </v>
      </c>
      <c r="CU304" s="9">
        <f t="shared" si="251"/>
        <v>5400</v>
      </c>
      <c r="CV304" s="9">
        <f t="shared" ref="CV304:CX304" si="287">+CU304</f>
        <v>5400</v>
      </c>
      <c r="CW304" s="9">
        <f t="shared" si="287"/>
        <v>5400</v>
      </c>
      <c r="CX304" s="69">
        <f t="shared" si="287"/>
        <v>5400</v>
      </c>
    </row>
    <row r="305" spans="1:102" s="10" customFormat="1" ht="18" hidden="1" customHeight="1">
      <c r="A305" s="53" t="s">
        <v>178</v>
      </c>
      <c r="B305" s="142" t="s">
        <v>176</v>
      </c>
      <c r="C305" s="57"/>
      <c r="D305" s="57"/>
      <c r="E305" s="51" t="s">
        <v>1170</v>
      </c>
      <c r="F305" s="51"/>
      <c r="G305" s="51">
        <v>3</v>
      </c>
      <c r="H305" s="51"/>
      <c r="I305" s="51"/>
      <c r="J305" s="51">
        <v>7</v>
      </c>
      <c r="K305" s="37" t="s">
        <v>1244</v>
      </c>
      <c r="L305" s="50"/>
      <c r="M305" s="4" t="s">
        <v>5</v>
      </c>
      <c r="N305" s="25">
        <v>301.02999999999997</v>
      </c>
      <c r="O305" s="25"/>
      <c r="P305" s="25"/>
      <c r="Q305" s="25"/>
      <c r="R305" s="25"/>
      <c r="S305" s="25"/>
      <c r="T305" s="25">
        <v>101.88</v>
      </c>
      <c r="U305" s="25">
        <v>402.90999999999997</v>
      </c>
      <c r="V305" s="30">
        <v>30.142011834319526</v>
      </c>
      <c r="W305" s="30">
        <v>89.062130177514788</v>
      </c>
      <c r="X305" s="31">
        <v>212.04</v>
      </c>
      <c r="Y305" s="31"/>
      <c r="Z305" s="31"/>
      <c r="AA305" s="31"/>
      <c r="AB305" s="31"/>
      <c r="AC305" s="31">
        <v>87.8</v>
      </c>
      <c r="AD305" s="31"/>
      <c r="AE305" s="32">
        <v>62.73372781065089</v>
      </c>
      <c r="AF305" s="1"/>
      <c r="AG305" s="4"/>
      <c r="AH305" s="4">
        <v>1949</v>
      </c>
      <c r="AI305" s="6">
        <v>3380</v>
      </c>
      <c r="AJ305" s="38">
        <v>30</v>
      </c>
      <c r="AK305" s="3" t="s">
        <v>179</v>
      </c>
      <c r="AL305" s="1"/>
      <c r="AM305" s="37"/>
      <c r="AN305" s="37"/>
      <c r="AO305" s="37"/>
      <c r="AP305" s="37"/>
      <c r="AQ305" s="37"/>
      <c r="AR305" s="37"/>
      <c r="AS305" s="37"/>
      <c r="AT305" s="37"/>
      <c r="AU305" s="37"/>
      <c r="AV305" s="37"/>
      <c r="AW305" s="37"/>
      <c r="AX305" s="37"/>
      <c r="AY305" s="37"/>
      <c r="AZ305" s="37"/>
      <c r="BA305" s="37"/>
      <c r="BB305" s="37"/>
      <c r="BC305" s="37"/>
      <c r="BD305" s="37"/>
      <c r="BE305" s="37"/>
      <c r="BF305" s="37"/>
      <c r="BG305" s="42">
        <v>256</v>
      </c>
      <c r="BH305" s="42"/>
      <c r="BI305" s="42"/>
      <c r="BJ305" s="42"/>
      <c r="BK305" s="44">
        <v>256</v>
      </c>
      <c r="BL305" s="44">
        <v>101.88</v>
      </c>
      <c r="BM305" s="44">
        <f>+BK305+BL305</f>
        <v>357.88</v>
      </c>
      <c r="BN305" s="47">
        <v>97.338403041825089</v>
      </c>
      <c r="BO305" s="47">
        <v>38.737642585551328</v>
      </c>
      <c r="BP305" s="45">
        <v>136.07604562737643</v>
      </c>
      <c r="BQ305" s="9">
        <v>2630</v>
      </c>
      <c r="BR305" s="4"/>
      <c r="BS305" s="4"/>
      <c r="BT305" s="4"/>
      <c r="BU305" s="4"/>
      <c r="BV305" s="4"/>
      <c r="BW305" s="4"/>
      <c r="BX305" s="4"/>
      <c r="BY305" s="9">
        <f>+INT(BK305*faktorji!$B$3)</f>
        <v>16640</v>
      </c>
      <c r="BZ305" s="9">
        <f>+INT(BL305*faktorji!$B$4)</f>
        <v>16810</v>
      </c>
      <c r="CA305" s="4"/>
      <c r="CB305" s="4">
        <v>0</v>
      </c>
      <c r="CC305" s="4">
        <v>0</v>
      </c>
      <c r="CD305" s="4">
        <v>0</v>
      </c>
      <c r="CE305" s="4">
        <v>0</v>
      </c>
      <c r="CF305" s="4">
        <v>1</v>
      </c>
      <c r="CG305" s="4">
        <v>1</v>
      </c>
      <c r="CH305" s="4">
        <v>1</v>
      </c>
      <c r="CI305" s="9">
        <f>+BQ305*(CB305*faktorji!$B$21+'MOL_tabela rezultatov'!CF65*faktorji!$B$23+'MOL_tabela rezultatov'!CH65*faktorji!$B$26)+faktorji!$B$27*CG305</f>
        <v>61395</v>
      </c>
      <c r="CJ305" s="9">
        <f>+(BZ305*CF305*faktorji!$B$18)+(CG305*faktorji!$B$17*('MOL_tabela rezultatov'!BY65+'MOL_tabela rezultatov'!BZ65))+('MOL_tabela rezultatov'!CH65*faktorji!$B$16*'MOL_tabela rezultatov'!BY65)+('MOL_tabela rezultatov'!CB65*faktorji!$B$12*'MOL_tabela rezultatov'!BY65)</f>
        <v>6359.9000000000005</v>
      </c>
      <c r="CK305" s="66">
        <f>+CI305/CJ305</f>
        <v>9.6534536706551979</v>
      </c>
      <c r="CL305" s="3" t="str">
        <f>CONCATENATE(IF(CB305&gt;0,"kotlovnica/toplotna postaja, ",""),IF(CF305&gt;0,"razsvetljava, ",""),IF(CG305&gt;0,"energetsko upravljanje, ",""),IF(CH305&gt;0,"manjši investicijski in organizacijski ukrepi, ",""))</f>
        <v xml:space="preserve">razsvetljava, energetsko upravljanje, manjši investicijski in organizacijski ukrepi, </v>
      </c>
      <c r="CM305" s="9">
        <f>+CJ305*0.9</f>
        <v>5723.9100000000008</v>
      </c>
      <c r="CN305" s="9">
        <f>+CJ305*0.9</f>
        <v>5723.9100000000008</v>
      </c>
      <c r="CO305" s="9">
        <f>+CJ305*0.9</f>
        <v>5723.9100000000008</v>
      </c>
      <c r="CP305" s="69">
        <f>+IF(CI305-SUM(CM305:CO305)&lt;0,0,CI305-SUM(CM305:CO305))</f>
        <v>44223.27</v>
      </c>
      <c r="CQ305" s="9">
        <f>+(BQ305*CE305*faktorji!$B$24)+(BQ305^0.5*CC305*4*4*0.66*faktorji!$B$22)+(BQ305^0.5*CD305*4*4*0.33*faktorji!$B$25)</f>
        <v>0</v>
      </c>
      <c r="CR305" s="3" t="str">
        <f t="shared" si="284"/>
        <v/>
      </c>
      <c r="CS305" s="9">
        <f>+BQ305*('MOL_tabela rezultatov'!CH305*faktorji!$B$26)+faktorji!$B$27*CG305</f>
        <v>21945</v>
      </c>
      <c r="CT305" s="3" t="str">
        <f t="shared" si="282"/>
        <v xml:space="preserve">energetsko upravljanje, manjši investicijski in organizacijski ukrepi, </v>
      </c>
      <c r="CU305" s="9">
        <f t="shared" si="251"/>
        <v>5486.25</v>
      </c>
      <c r="CV305" s="9">
        <f t="shared" ref="CV305:CX305" si="288">+CU305</f>
        <v>5486.25</v>
      </c>
      <c r="CW305" s="9">
        <f t="shared" si="288"/>
        <v>5486.25</v>
      </c>
      <c r="CX305" s="69">
        <f t="shared" si="288"/>
        <v>5486.25</v>
      </c>
    </row>
    <row r="306" spans="1:102" s="10" customFormat="1" ht="18" hidden="1" customHeight="1">
      <c r="A306" s="54" t="s">
        <v>316</v>
      </c>
      <c r="B306" s="3" t="s">
        <v>317</v>
      </c>
      <c r="C306" s="56"/>
      <c r="D306" s="56"/>
      <c r="E306" s="51" t="s">
        <v>1174</v>
      </c>
      <c r="F306" s="51"/>
      <c r="G306" s="51">
        <v>4</v>
      </c>
      <c r="H306" s="51"/>
      <c r="I306" s="51"/>
      <c r="J306" s="51">
        <v>7</v>
      </c>
      <c r="K306" s="37" t="s">
        <v>1241</v>
      </c>
      <c r="L306" s="50"/>
      <c r="M306" s="4" t="s">
        <v>7</v>
      </c>
      <c r="N306" s="25"/>
      <c r="O306" s="25"/>
      <c r="P306" s="25">
        <v>24.275562248576225</v>
      </c>
      <c r="Q306" s="25"/>
      <c r="R306" s="25"/>
      <c r="S306" s="25"/>
      <c r="T306" s="25">
        <v>4.5491106641086665</v>
      </c>
      <c r="U306" s="25">
        <v>28.824672912684893</v>
      </c>
      <c r="V306" s="30">
        <v>26.602986339816763</v>
      </c>
      <c r="W306" s="30">
        <v>141.96235233085511</v>
      </c>
      <c r="X306" s="31"/>
      <c r="Y306" s="31"/>
      <c r="Z306" s="31"/>
      <c r="AA306" s="31"/>
      <c r="AB306" s="31"/>
      <c r="AC306" s="31"/>
      <c r="AD306" s="31"/>
      <c r="AE306" s="32"/>
      <c r="AF306" s="1"/>
      <c r="AG306" s="4"/>
      <c r="AH306" s="4"/>
      <c r="AI306" s="6">
        <v>171</v>
      </c>
      <c r="AJ306" s="38"/>
      <c r="AK306" s="3"/>
      <c r="AL306" s="1"/>
      <c r="AM306" s="37"/>
      <c r="AN306" s="37"/>
      <c r="AO306" s="37"/>
      <c r="AP306" s="37"/>
      <c r="AQ306" s="37"/>
      <c r="AR306" s="37"/>
      <c r="AS306" s="37"/>
      <c r="AT306" s="37"/>
      <c r="AU306" s="37"/>
      <c r="AV306" s="37"/>
      <c r="AW306" s="37"/>
      <c r="AX306" s="37"/>
      <c r="AY306" s="37"/>
      <c r="AZ306" s="37"/>
      <c r="BA306" s="37"/>
      <c r="BB306" s="37"/>
      <c r="BC306" s="37"/>
      <c r="BD306" s="37"/>
      <c r="BE306" s="37"/>
      <c r="BF306" s="37"/>
      <c r="BG306" s="42"/>
      <c r="BH306" s="42"/>
      <c r="BI306" s="42">
        <v>22.2471</v>
      </c>
      <c r="BJ306" s="42"/>
      <c r="BK306" s="44">
        <v>22.2471</v>
      </c>
      <c r="BL306" s="44">
        <v>4.0185000000000004</v>
      </c>
      <c r="BM306" s="44">
        <f>+BK306+BL306</f>
        <v>26.265599999999999</v>
      </c>
      <c r="BN306" s="47">
        <v>130.1</v>
      </c>
      <c r="BO306" s="47">
        <v>23.5</v>
      </c>
      <c r="BP306" s="45">
        <v>153.6</v>
      </c>
      <c r="BQ306" s="6">
        <v>171</v>
      </c>
      <c r="BR306" s="4"/>
      <c r="BS306" s="4"/>
      <c r="BT306" s="4"/>
      <c r="BU306" s="4"/>
      <c r="BV306" s="4"/>
      <c r="BW306" s="4"/>
      <c r="BX306" s="4"/>
      <c r="BY306" s="9">
        <f>+INT(BK306*faktorji!$B$6)</f>
        <v>2780</v>
      </c>
      <c r="BZ306" s="9">
        <f>+INT(BL306*faktorji!$B$4)</f>
        <v>663</v>
      </c>
      <c r="CA306" s="4"/>
      <c r="CB306" s="4">
        <v>0</v>
      </c>
      <c r="CC306" s="4">
        <v>0</v>
      </c>
      <c r="CD306" s="4">
        <v>0</v>
      </c>
      <c r="CE306" s="4">
        <v>0</v>
      </c>
      <c r="CF306" s="4">
        <v>1</v>
      </c>
      <c r="CG306" s="4">
        <v>1</v>
      </c>
      <c r="CH306" s="4">
        <v>1</v>
      </c>
      <c r="CI306" s="9">
        <f>+BQ306*(CB306*faktorji!$B$21+'MOL_tabela rezultatov'!CF125*faktorji!$B$23+'MOL_tabela rezultatov'!CH125*faktorji!$B$26)+faktorji!$B$27*CG306</f>
        <v>20821.5</v>
      </c>
      <c r="CJ306" s="9">
        <f>+(BZ306*CF306*faktorji!$B$18)+(CG306*faktorji!$B$17*('MOL_tabela rezultatov'!BY125+'MOL_tabela rezultatov'!BZ125))+('MOL_tabela rezultatov'!CH125*faktorji!$B$16*'MOL_tabela rezultatov'!BY125)+('MOL_tabela rezultatov'!CB125*faktorji!$B$12*'MOL_tabela rezultatov'!BY125)</f>
        <v>122.65</v>
      </c>
      <c r="CK306" s="66">
        <f>+CI306/CJ306</f>
        <v>169.7635548308194</v>
      </c>
      <c r="CL306" s="3" t="str">
        <f>CONCATENATE(IF(CB306&gt;0,"kotlovnica/toplotna postaja, ",""),IF(CF306&gt;0,"razsvetljava, ",""),IF(CG306&gt;0,"energetsko upravljanje, ",""),IF(CH306&gt;0,"manjši investicijski in organizacijski ukrepi, ",""))</f>
        <v xml:space="preserve">razsvetljava, energetsko upravljanje, manjši investicijski in organizacijski ukrepi, </v>
      </c>
      <c r="CM306" s="9">
        <f>+CJ306*0.9</f>
        <v>110.38500000000001</v>
      </c>
      <c r="CN306" s="9">
        <f>+CJ306*0.9</f>
        <v>110.38500000000001</v>
      </c>
      <c r="CO306" s="9">
        <f>+CJ306*0.9</f>
        <v>110.38500000000001</v>
      </c>
      <c r="CP306" s="69">
        <f>+IF(CI306-SUM(CM306:CO306)&lt;0,0,CI306-SUM(CM306:CO306))</f>
        <v>20490.345000000001</v>
      </c>
      <c r="CQ306" s="9">
        <f>+(BQ306*CE306*faktorji!$B$24)+(BQ306^0.5*CC306*4*4*0.66*faktorji!$B$22)+(BQ306^0.5*CD306*4*4*0.33*faktorji!$B$25)</f>
        <v>0</v>
      </c>
      <c r="CR306" s="3" t="str">
        <f t="shared" si="284"/>
        <v/>
      </c>
      <c r="CS306" s="9">
        <f>+BQ306*('MOL_tabela rezultatov'!CH306*faktorji!$B$26)+faktorji!$B$27*CG306</f>
        <v>18256.5</v>
      </c>
      <c r="CT306" s="3" t="str">
        <f t="shared" si="282"/>
        <v xml:space="preserve">energetsko upravljanje, manjši investicijski in organizacijski ukrepi, </v>
      </c>
      <c r="CU306" s="9">
        <f t="shared" si="251"/>
        <v>4564.125</v>
      </c>
      <c r="CV306" s="9">
        <f t="shared" ref="CV306:CX306" si="289">+CU306</f>
        <v>4564.125</v>
      </c>
      <c r="CW306" s="9">
        <f t="shared" si="289"/>
        <v>4564.125</v>
      </c>
      <c r="CX306" s="69">
        <f t="shared" si="289"/>
        <v>4564.125</v>
      </c>
    </row>
    <row r="307" spans="1:102" ht="18" hidden="1" customHeight="1">
      <c r="A307" s="54" t="s">
        <v>566</v>
      </c>
      <c r="B307" s="3" t="s">
        <v>567</v>
      </c>
      <c r="C307" s="56"/>
      <c r="D307" s="56"/>
      <c r="E307" s="51" t="s">
        <v>1175</v>
      </c>
      <c r="F307" s="51"/>
      <c r="G307" s="51">
        <v>3</v>
      </c>
      <c r="H307" s="51"/>
      <c r="I307" s="51"/>
      <c r="J307" s="51">
        <v>7</v>
      </c>
      <c r="K307" s="37" t="s">
        <v>1244</v>
      </c>
      <c r="L307" s="50"/>
      <c r="M307" s="4" t="s">
        <v>5</v>
      </c>
      <c r="N307" s="25"/>
      <c r="O307" s="25"/>
      <c r="P307" s="25"/>
      <c r="Q307" s="25"/>
      <c r="R307" s="25"/>
      <c r="S307" s="25">
        <v>608.6253639274039</v>
      </c>
      <c r="T307" s="25">
        <v>106.46131275066753</v>
      </c>
      <c r="U307" s="25">
        <v>106.46131275066753</v>
      </c>
      <c r="V307" s="30">
        <v>24.718205885922341</v>
      </c>
      <c r="W307" s="30">
        <v>141.31074156661342</v>
      </c>
      <c r="X307" s="31"/>
      <c r="Y307" s="31"/>
      <c r="Z307" s="31"/>
      <c r="AA307" s="31"/>
      <c r="AB307" s="31"/>
      <c r="AC307" s="31"/>
      <c r="AD307" s="31"/>
      <c r="AE307" s="32"/>
      <c r="AF307" s="16"/>
      <c r="AG307" s="3"/>
      <c r="AH307" s="4"/>
      <c r="AI307" s="6">
        <v>4307</v>
      </c>
      <c r="AJ307" s="38">
        <v>100</v>
      </c>
      <c r="AK307" s="3"/>
      <c r="AL307" s="1" t="s">
        <v>565</v>
      </c>
      <c r="AM307" s="37"/>
      <c r="AN307" s="37"/>
      <c r="AO307" s="37"/>
      <c r="AP307" s="37"/>
      <c r="AQ307" s="37"/>
      <c r="AR307" s="37"/>
      <c r="AS307" s="37"/>
      <c r="AT307" s="37"/>
      <c r="AU307" s="37"/>
      <c r="AV307" s="37"/>
      <c r="AW307" s="37"/>
      <c r="AX307" s="37"/>
      <c r="AY307" s="37"/>
      <c r="AZ307" s="37"/>
      <c r="BA307" s="37"/>
      <c r="BB307" s="37"/>
      <c r="BC307" s="37"/>
      <c r="BD307" s="37"/>
      <c r="BE307" s="37"/>
      <c r="BF307" s="37"/>
      <c r="BG307" s="42">
        <v>430.59999999999997</v>
      </c>
      <c r="BH307" s="42">
        <v>25.9</v>
      </c>
      <c r="BI307" s="42"/>
      <c r="BJ307" s="42"/>
      <c r="BK307" s="44">
        <v>456.49999999999994</v>
      </c>
      <c r="BL307" s="44">
        <v>92.88</v>
      </c>
      <c r="BM307" s="44">
        <f>+BK307+BL307</f>
        <v>549.37999999999988</v>
      </c>
      <c r="BN307" s="47">
        <v>110.5862403100775</v>
      </c>
      <c r="BO307" s="47">
        <v>22.5</v>
      </c>
      <c r="BP307" s="45">
        <v>133.0862403100775</v>
      </c>
      <c r="BQ307" s="9">
        <v>4128</v>
      </c>
      <c r="BR307" s="4"/>
      <c r="BS307" s="4"/>
      <c r="BT307" s="4"/>
      <c r="BU307" s="4"/>
      <c r="BV307" s="4"/>
      <c r="BW307" s="4"/>
      <c r="BX307" s="4"/>
      <c r="BY307" s="9">
        <f>+INT(BK307*faktorji!$B$3)</f>
        <v>29672</v>
      </c>
      <c r="BZ307" s="9">
        <f>+INT(BL307*faktorji!$B$4)</f>
        <v>15325</v>
      </c>
      <c r="CA307" s="4"/>
      <c r="CB307" s="4">
        <v>0</v>
      </c>
      <c r="CC307" s="4">
        <v>0</v>
      </c>
      <c r="CD307" s="4">
        <v>0</v>
      </c>
      <c r="CE307" s="4">
        <v>0</v>
      </c>
      <c r="CF307" s="4">
        <v>0</v>
      </c>
      <c r="CG307" s="4">
        <v>1</v>
      </c>
      <c r="CH307" s="4">
        <v>1</v>
      </c>
      <c r="CI307" s="9">
        <f>+BQ307*(CB307*faktorji!$B$21+'MOL_tabela rezultatov'!CF212*faktorji!$B$23+'MOL_tabela rezultatov'!CH212*faktorji!$B$26)+faktorji!$B$27*CG307</f>
        <v>86112</v>
      </c>
      <c r="CJ307" s="9">
        <f>+(BZ307*CF307*faktorji!$B$18)+(CG307*faktorji!$B$17*('MOL_tabela rezultatov'!BY212+'MOL_tabela rezultatov'!BZ212))+('MOL_tabela rezultatov'!CH212*faktorji!$B$16*'MOL_tabela rezultatov'!BY212)+('MOL_tabela rezultatov'!CB212*faktorji!$B$12*'MOL_tabela rezultatov'!BY212)</f>
        <v>2312.9</v>
      </c>
      <c r="CK307" s="66">
        <f>+CI307/CJ307</f>
        <v>37.231181633447186</v>
      </c>
      <c r="CL307" s="3" t="str">
        <f>CONCATENATE(IF(CB307&gt;0,"kotlovnica/toplotna postaja, ",""),IF(CF307&gt;0,"razsvetljava, ",""),IF(CG307&gt;0,"energetsko upravljanje, ",""),IF(CH307&gt;0,"manjši investicijski in organizacijski ukrepi, ",""))</f>
        <v xml:space="preserve">energetsko upravljanje, manjši investicijski in organizacijski ukrepi, </v>
      </c>
      <c r="CM307" s="9">
        <f>+CJ307*0.9</f>
        <v>2081.61</v>
      </c>
      <c r="CN307" s="9">
        <f>+CJ307*0.9</f>
        <v>2081.61</v>
      </c>
      <c r="CO307" s="9">
        <f>+CJ307*0.9</f>
        <v>2081.61</v>
      </c>
      <c r="CP307" s="69">
        <f>+IF(CI307-SUM(CM307:CO307)&lt;0,0,CI307-SUM(CM307:CO307))</f>
        <v>79867.17</v>
      </c>
      <c r="CQ307" s="9">
        <f>+(BQ307*CE307*faktorji!$B$24)+(BQ307^0.5*CC307*4*4*0.66*faktorji!$B$22)+(BQ307^0.5*CD307*4*4*0.33*faktorji!$B$25)</f>
        <v>0</v>
      </c>
      <c r="CR307" s="3" t="str">
        <f t="shared" si="284"/>
        <v/>
      </c>
      <c r="CS307" s="9">
        <f>+BQ307*('MOL_tabela rezultatov'!CH307*faktorji!$B$26)+faktorji!$B$27*CG307</f>
        <v>24192</v>
      </c>
      <c r="CT307" s="3" t="str">
        <f t="shared" si="282"/>
        <v xml:space="preserve">energetsko upravljanje, manjši investicijski in organizacijski ukrepi, </v>
      </c>
      <c r="CU307" s="9">
        <f t="shared" si="251"/>
        <v>6048</v>
      </c>
      <c r="CV307" s="9">
        <f t="shared" ref="CV307:CX307" si="290">+CU307</f>
        <v>6048</v>
      </c>
      <c r="CW307" s="9">
        <f t="shared" si="290"/>
        <v>6048</v>
      </c>
      <c r="CX307" s="69">
        <f t="shared" si="290"/>
        <v>6048</v>
      </c>
    </row>
    <row r="308" spans="1:102" s="10" customFormat="1" ht="18" hidden="1" customHeight="1">
      <c r="A308" s="53" t="s">
        <v>1248</v>
      </c>
      <c r="B308" s="2" t="s">
        <v>1283</v>
      </c>
      <c r="C308" s="57"/>
      <c r="D308" s="57"/>
      <c r="E308" s="51" t="s">
        <v>1172</v>
      </c>
      <c r="F308" s="51"/>
      <c r="G308" s="51">
        <v>4</v>
      </c>
      <c r="H308" s="51" t="s">
        <v>1255</v>
      </c>
      <c r="I308" s="51"/>
      <c r="J308" s="51">
        <v>6</v>
      </c>
      <c r="K308" s="37"/>
      <c r="L308" s="50"/>
      <c r="M308" s="110" t="s">
        <v>1410</v>
      </c>
      <c r="N308" s="25"/>
      <c r="O308" s="25"/>
      <c r="P308" s="25"/>
      <c r="Q308" s="25"/>
      <c r="R308" s="25"/>
      <c r="S308" s="25"/>
      <c r="T308" s="27"/>
      <c r="U308" s="25"/>
      <c r="V308" s="30"/>
      <c r="W308" s="30"/>
      <c r="X308" s="31"/>
      <c r="Y308" s="31"/>
      <c r="Z308" s="31"/>
      <c r="AA308" s="31"/>
      <c r="AB308" s="31"/>
      <c r="AC308" s="31"/>
      <c r="AD308" s="31"/>
      <c r="AE308" s="32"/>
      <c r="AF308" s="16"/>
      <c r="AG308" s="3"/>
      <c r="AH308" s="4"/>
      <c r="AI308" s="12"/>
      <c r="AJ308" s="38"/>
      <c r="AK308" s="3"/>
      <c r="AL308" s="1"/>
      <c r="AM308" s="37"/>
      <c r="AN308" s="37"/>
      <c r="AO308" s="37"/>
      <c r="AP308" s="37"/>
      <c r="AQ308" s="37"/>
      <c r="AR308" s="37"/>
      <c r="AS308" s="37"/>
      <c r="AT308" s="37"/>
      <c r="AU308" s="37"/>
      <c r="AV308" s="37"/>
      <c r="AW308" s="37"/>
      <c r="AX308" s="37"/>
      <c r="AY308" s="37"/>
      <c r="AZ308" s="37"/>
      <c r="BA308" s="37"/>
      <c r="BB308" s="37"/>
      <c r="BC308" s="37"/>
      <c r="BD308" s="37"/>
      <c r="BE308" s="37"/>
      <c r="BF308" s="37"/>
      <c r="BG308" s="42"/>
      <c r="BH308" s="42"/>
      <c r="BI308" s="43"/>
      <c r="BJ308" s="43"/>
      <c r="BK308" s="107">
        <v>62.213999999999999</v>
      </c>
      <c r="BL308" s="107">
        <v>7.7709999999999999</v>
      </c>
      <c r="BM308" s="107">
        <f>+BK308+BL308</f>
        <v>69.984999999999999</v>
      </c>
      <c r="BN308" s="108">
        <f>+BK308/BQ308*1000</f>
        <v>116.28785046728972</v>
      </c>
      <c r="BO308" s="108">
        <f>+BL308*1000/BQ308</f>
        <v>14.525233644859814</v>
      </c>
      <c r="BP308" s="109">
        <f>+BO308+BN308</f>
        <v>130.81308411214954</v>
      </c>
      <c r="BQ308" s="106">
        <v>535</v>
      </c>
      <c r="BR308" s="113">
        <v>80</v>
      </c>
      <c r="BS308" s="113">
        <v>2012</v>
      </c>
      <c r="BT308" s="113" t="s">
        <v>1412</v>
      </c>
      <c r="BU308" s="52"/>
      <c r="BV308" s="52"/>
      <c r="BW308" s="52"/>
      <c r="BX308" s="52"/>
      <c r="BY308" s="106">
        <f>4655+1178</f>
        <v>5833</v>
      </c>
      <c r="BZ308" s="106">
        <v>1930</v>
      </c>
      <c r="CA308" s="113" t="s">
        <v>1411</v>
      </c>
      <c r="CB308" s="4">
        <v>1</v>
      </c>
      <c r="CC308" s="4">
        <v>1</v>
      </c>
      <c r="CD308" s="4">
        <v>1</v>
      </c>
      <c r="CE308" s="4">
        <v>1</v>
      </c>
      <c r="CF308" s="4">
        <v>1</v>
      </c>
      <c r="CG308" s="4">
        <v>1</v>
      </c>
      <c r="CH308" s="4">
        <v>1</v>
      </c>
      <c r="CI308" s="106">
        <v>34110</v>
      </c>
      <c r="CJ308" s="106">
        <v>4574</v>
      </c>
      <c r="CK308" s="66">
        <f>+CI308/CJ308</f>
        <v>7.4573677306515087</v>
      </c>
      <c r="CL308" s="3" t="str">
        <f>CONCATENATE(IF(CB308&gt;0,"kotlovnica/toplotna postaja, ",""),IF(CF308&gt;0,"razsvetljava, ",""),IF(CG308&gt;0,"energetsko upravljanje, ",""),IF(CH308&gt;0,"manjši investicijski in organizacijski ukrepi, ",""))</f>
        <v xml:space="preserve">kotlovnica/toplotna postaja, razsvetljava, energetsko upravljanje, manjši investicijski in organizacijski ukrepi, </v>
      </c>
      <c r="CM308" s="9">
        <f>+CJ308*0.9</f>
        <v>4116.6000000000004</v>
      </c>
      <c r="CN308" s="9">
        <f>+CJ308*0.9</f>
        <v>4116.6000000000004</v>
      </c>
      <c r="CO308" s="9">
        <f>+CJ308*0.9</f>
        <v>4116.6000000000004</v>
      </c>
      <c r="CP308" s="69">
        <f>+IF(CI308-SUM(CM308:CO308)&lt;0,0,CI308-SUM(CM308:CO308))</f>
        <v>21760.199999999997</v>
      </c>
      <c r="CQ308" s="9">
        <f>+(BQ308*CE308*faktorji!$B$24)+(BQ308^0.5*CC308*4*4*0.66*faktorji!$B$22)+(BQ308^0.5*CD308*4*4*0.33*faktorji!$B$25)</f>
        <v>58329.433992018006</v>
      </c>
      <c r="CR308" s="3" t="str">
        <f t="shared" si="284"/>
        <v xml:space="preserve">izolacija ovoja, stavbno pohištvo, izolacija podstrešja, </v>
      </c>
      <c r="CS308" s="9">
        <f>+BQ308*('MOL_tabela rezultatov'!CH308*faktorji!$B$26)+faktorji!$B$27*CG308</f>
        <v>18802.5</v>
      </c>
      <c r="CT308" s="3" t="str">
        <f t="shared" si="282"/>
        <v xml:space="preserve">energetsko upravljanje, manjši investicijski in organizacijski ukrepi, </v>
      </c>
      <c r="CU308" s="9">
        <f t="shared" si="251"/>
        <v>4700.625</v>
      </c>
      <c r="CV308" s="9">
        <f t="shared" ref="CV308:CX308" si="291">+CU308</f>
        <v>4700.625</v>
      </c>
      <c r="CW308" s="9">
        <f t="shared" si="291"/>
        <v>4700.625</v>
      </c>
      <c r="CX308" s="69">
        <f t="shared" si="291"/>
        <v>4700.625</v>
      </c>
    </row>
    <row r="309" spans="1:102" s="10" customFormat="1" ht="18" hidden="1" customHeight="1">
      <c r="A309" s="53" t="s">
        <v>624</v>
      </c>
      <c r="B309" s="2" t="s">
        <v>625</v>
      </c>
      <c r="C309" s="57"/>
      <c r="D309" s="57"/>
      <c r="E309" s="51" t="s">
        <v>1176</v>
      </c>
      <c r="F309" s="51"/>
      <c r="G309" s="51">
        <v>3</v>
      </c>
      <c r="H309" s="51"/>
      <c r="I309" s="51"/>
      <c r="J309" s="51">
        <v>7</v>
      </c>
      <c r="K309" s="37" t="s">
        <v>1244</v>
      </c>
      <c r="L309" s="50"/>
      <c r="M309" s="4" t="s">
        <v>5</v>
      </c>
      <c r="N309" s="25"/>
      <c r="O309" s="25"/>
      <c r="P309" s="25"/>
      <c r="Q309" s="25"/>
      <c r="R309" s="25"/>
      <c r="S309" s="25">
        <v>58.05</v>
      </c>
      <c r="T309" s="25">
        <v>8.5913856803281483</v>
      </c>
      <c r="U309" s="25">
        <v>8.5913856803281483</v>
      </c>
      <c r="V309" s="30">
        <v>31.819946964178328</v>
      </c>
      <c r="W309" s="30">
        <v>215</v>
      </c>
      <c r="X309" s="31"/>
      <c r="Y309" s="31"/>
      <c r="Z309" s="31"/>
      <c r="AA309" s="31"/>
      <c r="AB309" s="31"/>
      <c r="AC309" s="31"/>
      <c r="AD309" s="31"/>
      <c r="AE309" s="32"/>
      <c r="AF309" s="16"/>
      <c r="AG309" s="3"/>
      <c r="AH309" s="4"/>
      <c r="AI309" s="6">
        <v>270</v>
      </c>
      <c r="AJ309" s="38">
        <v>100</v>
      </c>
      <c r="AK309" s="3"/>
      <c r="AL309" s="1" t="s">
        <v>619</v>
      </c>
      <c r="AM309" s="37"/>
      <c r="AN309" s="37"/>
      <c r="AO309" s="37"/>
      <c r="AP309" s="37"/>
      <c r="AQ309" s="37"/>
      <c r="AR309" s="37"/>
      <c r="AS309" s="37"/>
      <c r="AT309" s="37"/>
      <c r="AU309" s="37"/>
      <c r="AV309" s="37"/>
      <c r="AW309" s="37"/>
      <c r="AX309" s="37"/>
      <c r="AY309" s="37"/>
      <c r="AZ309" s="37"/>
      <c r="BA309" s="37"/>
      <c r="BB309" s="37"/>
      <c r="BC309" s="37"/>
      <c r="BD309" s="37"/>
      <c r="BE309" s="37"/>
      <c r="BF309" s="37"/>
      <c r="BG309" s="42">
        <v>182.1</v>
      </c>
      <c r="BH309" s="42"/>
      <c r="BI309" s="42"/>
      <c r="BJ309" s="42"/>
      <c r="BK309" s="44">
        <v>182.1</v>
      </c>
      <c r="BL309" s="44">
        <v>13.635</v>
      </c>
      <c r="BM309" s="44">
        <f>+BK309+BL309</f>
        <v>195.73499999999999</v>
      </c>
      <c r="BN309" s="47">
        <v>674.44444444444446</v>
      </c>
      <c r="BO309" s="47">
        <v>50.5</v>
      </c>
      <c r="BP309" s="45">
        <v>724.94444444444434</v>
      </c>
      <c r="BQ309" s="9">
        <v>270</v>
      </c>
      <c r="BR309" s="4"/>
      <c r="BS309" s="4"/>
      <c r="BT309" s="4"/>
      <c r="BU309" s="4"/>
      <c r="BV309" s="4"/>
      <c r="BW309" s="4"/>
      <c r="BX309" s="4"/>
      <c r="BY309" s="9">
        <f>+INT(BK309*faktorji!$B$3)</f>
        <v>11836</v>
      </c>
      <c r="BZ309" s="9">
        <f>+INT(BL309*faktorji!$B$4)</f>
        <v>2249</v>
      </c>
      <c r="CA309" s="4"/>
      <c r="CB309" s="4">
        <v>0</v>
      </c>
      <c r="CC309" s="4">
        <v>0</v>
      </c>
      <c r="CD309" s="4">
        <v>0</v>
      </c>
      <c r="CE309" s="4">
        <v>0</v>
      </c>
      <c r="CF309" s="4">
        <v>1</v>
      </c>
      <c r="CG309" s="4">
        <v>1</v>
      </c>
      <c r="CH309" s="4">
        <v>1</v>
      </c>
      <c r="CI309" s="9">
        <f>+BQ309*(CB309*faktorji!$B$21+'MOL_tabela rezultatov'!CF229*faktorji!$B$23+'MOL_tabela rezultatov'!CH229*faktorji!$B$26)+faktorji!$B$27*CG309</f>
        <v>22455</v>
      </c>
      <c r="CJ309" s="9">
        <f>+(BZ309*CF309*faktorji!$B$18)+(CG309*faktorji!$B$17*('MOL_tabela rezultatov'!BY229+'MOL_tabela rezultatov'!BZ229))+('MOL_tabela rezultatov'!CH229*faktorji!$B$16*'MOL_tabela rezultatov'!BY229)+('MOL_tabela rezultatov'!CB229*faktorji!$B$12*'MOL_tabela rezultatov'!BY229)</f>
        <v>2514.15</v>
      </c>
      <c r="CK309" s="66">
        <f>+CI309/CJ309</f>
        <v>8.931448004295687</v>
      </c>
      <c r="CL309" s="3" t="str">
        <f>CONCATENATE(IF(CB309&gt;0,"kotlovnica/toplotna postaja, ",""),IF(CF309&gt;0,"razsvetljava, ",""),IF(CG309&gt;0,"energetsko upravljanje, ",""),IF(CH309&gt;0,"manjši investicijski in organizacijski ukrepi, ",""))</f>
        <v xml:space="preserve">razsvetljava, energetsko upravljanje, manjši investicijski in organizacijski ukrepi, </v>
      </c>
      <c r="CM309" s="9">
        <f>+CJ309*0.9</f>
        <v>2262.7350000000001</v>
      </c>
      <c r="CN309" s="9">
        <f>+CJ309*0.9</f>
        <v>2262.7350000000001</v>
      </c>
      <c r="CO309" s="9">
        <f>+CJ309*0.9</f>
        <v>2262.7350000000001</v>
      </c>
      <c r="CP309" s="69">
        <f>+IF(CI309-SUM(CM309:CO309)&lt;0,0,CI309-SUM(CM309:CO309))</f>
        <v>15666.795</v>
      </c>
      <c r="CQ309" s="9"/>
      <c r="CR309" s="3"/>
      <c r="CS309" s="9"/>
      <c r="CT309" s="3"/>
      <c r="CU309" s="9"/>
      <c r="CV309" s="9"/>
      <c r="CW309" s="9"/>
      <c r="CX309" s="69"/>
    </row>
    <row r="310" spans="1:102" s="105" customFormat="1" ht="18" hidden="1" customHeight="1">
      <c r="A310" s="54" t="s">
        <v>368</v>
      </c>
      <c r="B310" s="3" t="s">
        <v>369</v>
      </c>
      <c r="C310" s="56"/>
      <c r="D310" s="56"/>
      <c r="E310" s="51" t="s">
        <v>331</v>
      </c>
      <c r="F310" s="51" t="s">
        <v>1255</v>
      </c>
      <c r="G310" s="51">
        <v>3</v>
      </c>
      <c r="H310" s="51"/>
      <c r="I310" s="51"/>
      <c r="J310" s="51">
        <v>7</v>
      </c>
      <c r="K310" s="37" t="s">
        <v>1244</v>
      </c>
      <c r="L310" s="50"/>
      <c r="M310" s="4" t="s">
        <v>6</v>
      </c>
      <c r="N310" s="25"/>
      <c r="O310" s="25"/>
      <c r="P310" s="25"/>
      <c r="Q310" s="25"/>
      <c r="R310" s="25"/>
      <c r="S310" s="25">
        <v>415.52393473371484</v>
      </c>
      <c r="T310" s="25">
        <v>172.23020396515764</v>
      </c>
      <c r="U310" s="25">
        <v>172.23020396515764</v>
      </c>
      <c r="V310" s="30">
        <v>72.579099858894921</v>
      </c>
      <c r="W310" s="30">
        <v>175.10490296406019</v>
      </c>
      <c r="X310" s="31"/>
      <c r="Y310" s="31"/>
      <c r="Z310" s="31"/>
      <c r="AA310" s="31"/>
      <c r="AB310" s="31"/>
      <c r="AC310" s="31"/>
      <c r="AD310" s="31"/>
      <c r="AE310" s="32"/>
      <c r="AF310" s="1"/>
      <c r="AG310" s="4"/>
      <c r="AH310" s="4"/>
      <c r="AI310" s="6">
        <v>2373</v>
      </c>
      <c r="AJ310" s="38"/>
      <c r="AK310" s="3"/>
      <c r="AL310" s="1"/>
      <c r="AM310" s="37"/>
      <c r="AN310" s="37"/>
      <c r="AO310" s="37"/>
      <c r="AP310" s="37"/>
      <c r="AQ310" s="37"/>
      <c r="AR310" s="37"/>
      <c r="AS310" s="37"/>
      <c r="AT310" s="37"/>
      <c r="AU310" s="37"/>
      <c r="AV310" s="37"/>
      <c r="AW310" s="37"/>
      <c r="AX310" s="37"/>
      <c r="AY310" s="37"/>
      <c r="AZ310" s="37"/>
      <c r="BA310" s="37"/>
      <c r="BB310" s="37"/>
      <c r="BC310" s="37"/>
      <c r="BD310" s="37"/>
      <c r="BE310" s="37"/>
      <c r="BF310" s="37"/>
      <c r="BG310" s="42"/>
      <c r="BH310" s="42">
        <v>289.5</v>
      </c>
      <c r="BI310" s="42"/>
      <c r="BJ310" s="42"/>
      <c r="BK310" s="44">
        <v>289.5</v>
      </c>
      <c r="BL310" s="44">
        <v>203.38119999999998</v>
      </c>
      <c r="BM310" s="44">
        <f>+BK310+BL310</f>
        <v>492.88119999999998</v>
      </c>
      <c r="BN310" s="47">
        <v>106.47296800294225</v>
      </c>
      <c r="BO310" s="47">
        <v>74.8</v>
      </c>
      <c r="BP310" s="45">
        <v>181.27296800294224</v>
      </c>
      <c r="BQ310" s="9">
        <v>2719</v>
      </c>
      <c r="BR310" s="4"/>
      <c r="BS310" s="4"/>
      <c r="BT310" s="4"/>
      <c r="BU310" s="4"/>
      <c r="BV310" s="4"/>
      <c r="BW310" s="4"/>
      <c r="BX310" s="4"/>
      <c r="BY310" s="9">
        <f>+INT(BK310*faktorji!$B$5)</f>
        <v>27502</v>
      </c>
      <c r="BZ310" s="9">
        <f>+INT(BL310*faktorji!$B$4)</f>
        <v>33557</v>
      </c>
      <c r="CA310" s="4"/>
      <c r="CB310" s="4">
        <v>0</v>
      </c>
      <c r="CC310" s="4">
        <v>0</v>
      </c>
      <c r="CD310" s="4">
        <v>0</v>
      </c>
      <c r="CE310" s="4">
        <v>0</v>
      </c>
      <c r="CF310" s="4">
        <v>1</v>
      </c>
      <c r="CG310" s="4">
        <v>1</v>
      </c>
      <c r="CH310" s="4">
        <v>1</v>
      </c>
      <c r="CI310" s="9">
        <f>+BQ310*(CB310*faktorji!$B$21+'MOL_tabela rezultatov'!CF145*faktorji!$B$23+'MOL_tabela rezultatov'!CH145*faktorji!$B$26)+faktorji!$B$27*CG310</f>
        <v>62863.5</v>
      </c>
      <c r="CJ310" s="9">
        <f>+(BZ310*CF310*faktorji!$B$18)+(CG310*faktorji!$B$17*('MOL_tabela rezultatov'!BY145+'MOL_tabela rezultatov'!BZ145))+('MOL_tabela rezultatov'!CH145*faktorji!$B$16*'MOL_tabela rezultatov'!BY145)+('MOL_tabela rezultatov'!CB145*faktorji!$B$12*'MOL_tabela rezultatov'!BY145)</f>
        <v>8124.55</v>
      </c>
      <c r="CK310" s="66">
        <f>+CI310/CJ310</f>
        <v>7.737474690905958</v>
      </c>
      <c r="CL310" s="3" t="str">
        <f>CONCATENATE(IF(CB310&gt;0,"kotlovnica/toplotna postaja, ",""),IF(CF310&gt;0,"razsvetljava, ",""),IF(CG310&gt;0,"energetsko upravljanje, ",""),IF(CH310&gt;0,"manjši investicijski in organizacijski ukrepi, ",""))</f>
        <v xml:space="preserve">razsvetljava, energetsko upravljanje, manjši investicijski in organizacijski ukrepi, </v>
      </c>
      <c r="CM310" s="9">
        <f>+CJ310*0.9</f>
        <v>7312.0950000000003</v>
      </c>
      <c r="CN310" s="9">
        <f>+CJ310*0.9</f>
        <v>7312.0950000000003</v>
      </c>
      <c r="CO310" s="9">
        <f>+CJ310*0.9</f>
        <v>7312.0950000000003</v>
      </c>
      <c r="CP310" s="69">
        <f>+IF(CI310-SUM(CM310:CO310)&lt;0,0,CI310-SUM(CM310:CO310))</f>
        <v>40927.214999999997</v>
      </c>
      <c r="CQ310" s="123">
        <f>+SUBTOTAL(109,CQ3:CQ308)</f>
        <v>1183175.0289247201</v>
      </c>
      <c r="CR310" s="122"/>
      <c r="CS310" s="123">
        <f>+SUBTOTAL(109,CS3:CS308)</f>
        <v>726515.29500000004</v>
      </c>
      <c r="CT310" s="122"/>
      <c r="CU310" s="124">
        <f>+SUBTOTAL(109,CU3:CU308)</f>
        <v>162614.86874999999</v>
      </c>
      <c r="CV310" s="124">
        <f>+SUBTOTAL(109,CV3:CV308)</f>
        <v>162614.86874999999</v>
      </c>
      <c r="CW310" s="124">
        <f>+SUBTOTAL(109,CW3:CW308)</f>
        <v>162614.86874999999</v>
      </c>
      <c r="CX310" s="124">
        <f t="shared" ref="CX310" si="292">+SUBTOTAL(109,CX3:CX308)</f>
        <v>162614.86874999999</v>
      </c>
    </row>
    <row r="311" spans="1:102" ht="18" hidden="1" customHeight="1">
      <c r="A311" s="54" t="s">
        <v>214</v>
      </c>
      <c r="B311" s="143" t="s">
        <v>215</v>
      </c>
      <c r="C311" s="56"/>
      <c r="D311" s="56"/>
      <c r="E311" s="51" t="s">
        <v>1172</v>
      </c>
      <c r="F311" s="51"/>
      <c r="G311" s="51">
        <v>4</v>
      </c>
      <c r="H311" s="51"/>
      <c r="I311" s="51"/>
      <c r="J311" s="51">
        <v>7</v>
      </c>
      <c r="K311" s="37" t="s">
        <v>1244</v>
      </c>
      <c r="L311" s="50"/>
      <c r="M311" s="4" t="s">
        <v>5</v>
      </c>
      <c r="N311" s="25">
        <v>29.98</v>
      </c>
      <c r="O311" s="25"/>
      <c r="P311" s="25"/>
      <c r="Q311" s="25"/>
      <c r="R311" s="25"/>
      <c r="S311" s="25"/>
      <c r="T311" s="25">
        <v>5.8</v>
      </c>
      <c r="U311" s="25">
        <v>35.78</v>
      </c>
      <c r="V311" s="30">
        <v>14.499999999999998</v>
      </c>
      <c r="W311" s="30">
        <v>74.95</v>
      </c>
      <c r="X311" s="31"/>
      <c r="Y311" s="31"/>
      <c r="Z311" s="31"/>
      <c r="AA311" s="31"/>
      <c r="AB311" s="31"/>
      <c r="AC311" s="31"/>
      <c r="AD311" s="31"/>
      <c r="AE311" s="32"/>
      <c r="AF311" s="1" t="s">
        <v>216</v>
      </c>
      <c r="AG311" s="4">
        <v>1973</v>
      </c>
      <c r="AH311" s="4">
        <v>2003</v>
      </c>
      <c r="AI311" s="6">
        <v>400</v>
      </c>
      <c r="AJ311" s="38"/>
      <c r="AK311" s="3"/>
      <c r="AL311" s="1" t="s">
        <v>127</v>
      </c>
      <c r="AM311" s="37"/>
      <c r="AN311" s="37"/>
      <c r="AO311" s="37"/>
      <c r="AP311" s="37"/>
      <c r="AQ311" s="37"/>
      <c r="AR311" s="37"/>
      <c r="AS311" s="37"/>
      <c r="AT311" s="37"/>
      <c r="AU311" s="37"/>
      <c r="AV311" s="37"/>
      <c r="AW311" s="37"/>
      <c r="AX311" s="37"/>
      <c r="AY311" s="37"/>
      <c r="AZ311" s="37"/>
      <c r="BA311" s="37"/>
      <c r="BB311" s="37"/>
      <c r="BC311" s="37"/>
      <c r="BD311" s="37"/>
      <c r="BE311" s="37"/>
      <c r="BF311" s="37"/>
      <c r="BG311" s="42">
        <v>25.9</v>
      </c>
      <c r="BH311" s="42"/>
      <c r="BI311" s="42"/>
      <c r="BJ311" s="42"/>
      <c r="BK311" s="44">
        <v>25.9</v>
      </c>
      <c r="BL311" s="44">
        <v>5.8</v>
      </c>
      <c r="BM311" s="44">
        <f>+BK311+BL311</f>
        <v>31.7</v>
      </c>
      <c r="BN311" s="47">
        <v>64.75</v>
      </c>
      <c r="BO311" s="47">
        <v>14.5</v>
      </c>
      <c r="BP311" s="45">
        <v>79.25</v>
      </c>
      <c r="BQ311" s="9">
        <v>400</v>
      </c>
      <c r="BR311" s="4"/>
      <c r="BS311" s="4"/>
      <c r="BT311" s="4"/>
      <c r="BU311" s="4" t="s">
        <v>193</v>
      </c>
      <c r="BV311" s="4"/>
      <c r="BW311" s="4"/>
      <c r="BX311" s="4"/>
      <c r="BY311" s="9">
        <f>+INT(BK311*faktorji!$B$3)</f>
        <v>1683</v>
      </c>
      <c r="BZ311" s="9">
        <f>+INT(BL311*faktorji!$B$4)</f>
        <v>957</v>
      </c>
      <c r="CA311" s="4"/>
      <c r="CB311" s="4">
        <v>0</v>
      </c>
      <c r="CC311" s="4">
        <v>0</v>
      </c>
      <c r="CD311" s="4">
        <v>0</v>
      </c>
      <c r="CE311" s="4">
        <v>0</v>
      </c>
      <c r="CF311" s="4">
        <v>1</v>
      </c>
      <c r="CG311" s="4">
        <v>1</v>
      </c>
      <c r="CH311" s="4">
        <v>1</v>
      </c>
      <c r="CI311" s="9">
        <f>+BQ311*(CB311*faktorji!$B$21+'MOL_tabela rezultatov'!CF75*faktorji!$B$23+'MOL_tabela rezultatov'!CH75*faktorji!$B$26)+faktorji!$B$27*CG311</f>
        <v>18600</v>
      </c>
      <c r="CJ311" s="9">
        <f>+(BZ311*CF311*faktorji!$B$18)+(CG311*faktorji!$B$17*('MOL_tabela rezultatov'!BY75+'MOL_tabela rezultatov'!BZ75))+('MOL_tabela rezultatov'!CH75*faktorji!$B$16*'MOL_tabela rezultatov'!BY75)+('MOL_tabela rezultatov'!CB75*faktorji!$B$12*'MOL_tabela rezultatov'!BY75)</f>
        <v>13735.15</v>
      </c>
      <c r="CK311" s="66">
        <f>+CI311/CJ311</f>
        <v>1.3541897977087982</v>
      </c>
      <c r="CL311" s="3" t="str">
        <f>CONCATENATE(IF(CB311&gt;0,"kotlovnica/toplotna postaja, ",""),IF(CF311&gt;0,"razsvetljava, ",""),IF(CG311&gt;0,"energetsko upravljanje, ",""),IF(CH311&gt;0,"manjši investicijski in organizacijski ukrepi, ",""))</f>
        <v xml:space="preserve">razsvetljava, energetsko upravljanje, manjši investicijski in organizacijski ukrepi, </v>
      </c>
      <c r="CM311" s="9">
        <f>+CJ311*0.9</f>
        <v>12361.635</v>
      </c>
      <c r="CN311" s="9">
        <f>+CJ311*0.9</f>
        <v>12361.635</v>
      </c>
      <c r="CO311" s="9">
        <f>+CJ311*0.9</f>
        <v>12361.635</v>
      </c>
      <c r="CP311" s="69">
        <f>+IF(CI311-SUM(CM311:CO311)&lt;0,0,CI311-SUM(CM311:CO311))</f>
        <v>0</v>
      </c>
      <c r="CQ311" s="52"/>
      <c r="CR311" s="52"/>
      <c r="CS311" s="52"/>
      <c r="CT311" s="52"/>
      <c r="CU311" s="52"/>
      <c r="CV311" s="52"/>
      <c r="CW311" s="52"/>
      <c r="CX311" s="120"/>
    </row>
    <row r="312" spans="1:102" ht="18" hidden="1" customHeight="1">
      <c r="A312" s="53" t="s">
        <v>641</v>
      </c>
      <c r="B312" s="144" t="s">
        <v>642</v>
      </c>
      <c r="C312" s="57"/>
      <c r="D312" s="57"/>
      <c r="E312" s="51" t="s">
        <v>1176</v>
      </c>
      <c r="F312" s="51"/>
      <c r="G312" s="51">
        <v>3</v>
      </c>
      <c r="H312" s="51"/>
      <c r="I312" s="51"/>
      <c r="J312" s="51">
        <v>7</v>
      </c>
      <c r="K312" s="37" t="s">
        <v>1243</v>
      </c>
      <c r="L312" s="50"/>
      <c r="M312" s="4" t="s">
        <v>5</v>
      </c>
      <c r="N312" s="28">
        <v>53</v>
      </c>
      <c r="O312" s="25"/>
      <c r="P312" s="25"/>
      <c r="Q312" s="25"/>
      <c r="R312" s="25"/>
      <c r="S312" s="25"/>
      <c r="T312" s="25">
        <v>4.5599999999999996</v>
      </c>
      <c r="U312" s="25">
        <v>57.56</v>
      </c>
      <c r="V312" s="30">
        <v>22.028985507246375</v>
      </c>
      <c r="W312" s="30">
        <v>256.03864734299515</v>
      </c>
      <c r="X312" s="31"/>
      <c r="Y312" s="31"/>
      <c r="Z312" s="31"/>
      <c r="AA312" s="31"/>
      <c r="AB312" s="31"/>
      <c r="AC312" s="31"/>
      <c r="AD312" s="31"/>
      <c r="AE312" s="32"/>
      <c r="AF312" s="16"/>
      <c r="AG312" s="3"/>
      <c r="AH312" s="4"/>
      <c r="AI312" s="6">
        <v>207</v>
      </c>
      <c r="AJ312" s="38">
        <v>100</v>
      </c>
      <c r="AK312" s="3"/>
      <c r="AL312" s="1" t="s">
        <v>421</v>
      </c>
      <c r="AM312" s="39"/>
      <c r="AN312" s="39"/>
      <c r="AO312" s="39">
        <v>56.52</v>
      </c>
      <c r="AP312" s="39">
        <v>103.5</v>
      </c>
      <c r="AQ312" s="37"/>
      <c r="AR312" s="37"/>
      <c r="AS312" s="37">
        <f>(3792*9.5)/1000</f>
        <v>36.024000000000001</v>
      </c>
      <c r="AT312" s="37">
        <f>(2770*9.5)/1000</f>
        <v>26.315000000000001</v>
      </c>
      <c r="AU312" s="37"/>
      <c r="AV312" s="37"/>
      <c r="AW312" s="37"/>
      <c r="AX312" s="37"/>
      <c r="AY312" s="37"/>
      <c r="AZ312" s="37"/>
      <c r="BA312" s="37"/>
      <c r="BB312" s="37"/>
      <c r="BC312" s="37">
        <v>4.9000000000000004</v>
      </c>
      <c r="BD312" s="37">
        <v>5.6</v>
      </c>
      <c r="BE312" s="37">
        <v>3.8</v>
      </c>
      <c r="BF312" s="37">
        <v>4.2</v>
      </c>
      <c r="BG312" s="42">
        <v>75.099999999999994</v>
      </c>
      <c r="BH312" s="42">
        <v>31.169499999999999</v>
      </c>
      <c r="BI312" s="42"/>
      <c r="BJ312" s="42"/>
      <c r="BK312" s="44">
        <v>106.26949999999999</v>
      </c>
      <c r="BL312" s="44">
        <v>4.625</v>
      </c>
      <c r="BM312" s="44">
        <f>+BK312+BL312</f>
        <v>110.89449999999999</v>
      </c>
      <c r="BN312" s="47">
        <v>559.31315789473683</v>
      </c>
      <c r="BO312" s="47">
        <v>24.342105263157894</v>
      </c>
      <c r="BP312" s="45">
        <v>583.65526315789475</v>
      </c>
      <c r="BQ312" s="9">
        <v>190</v>
      </c>
      <c r="BR312" s="4"/>
      <c r="BS312" s="4"/>
      <c r="BT312" s="4" t="s">
        <v>431</v>
      </c>
      <c r="BU312" s="4" t="s">
        <v>136</v>
      </c>
      <c r="BV312" s="4" t="s">
        <v>871</v>
      </c>
      <c r="BW312" s="4" t="s">
        <v>887</v>
      </c>
      <c r="BX312" s="4"/>
      <c r="BY312" s="9">
        <f>+INT(BK312*faktorji!$B$3)</f>
        <v>6907</v>
      </c>
      <c r="BZ312" s="9">
        <f>+INT(BL312*faktorji!$B$4)</f>
        <v>763</v>
      </c>
      <c r="CA312" s="4"/>
      <c r="CB312" s="4">
        <v>0</v>
      </c>
      <c r="CC312" s="4">
        <v>1</v>
      </c>
      <c r="CD312" s="4">
        <v>0</v>
      </c>
      <c r="CE312" s="4">
        <v>0</v>
      </c>
      <c r="CF312" s="4">
        <v>1</v>
      </c>
      <c r="CG312" s="4">
        <v>1</v>
      </c>
      <c r="CH312" s="4">
        <v>1</v>
      </c>
      <c r="CI312" s="9" t="e">
        <f>+BQ312*(CB312*faktorji!$B$21+'MOL_tabela rezultatov'!#REF!*faktorji!$B$23+'MOL_tabela rezultatov'!#REF!*faktorji!$B$26)+faktorji!$B$27*CG312</f>
        <v>#REF!</v>
      </c>
      <c r="CJ312" s="9" t="e">
        <f>+(BZ312*CF312*faktorji!$B$18)+(CG312*faktorji!$B$17*('MOL_tabela rezultatov'!#REF!+'MOL_tabela rezultatov'!#REF!))+('MOL_tabela rezultatov'!#REF!*faktorji!$B$16*'MOL_tabela rezultatov'!#REF!)+('MOL_tabela rezultatov'!#REF!*faktorji!$B$12*'MOL_tabela rezultatov'!#REF!)</f>
        <v>#REF!</v>
      </c>
      <c r="CK312" s="66" t="e">
        <f>+CI312/CJ312</f>
        <v>#REF!</v>
      </c>
      <c r="CL312" s="3" t="str">
        <f>CONCATENATE(IF(CB312&gt;0,"kotlovnica/toplotna postaja, ",""),IF(CF312&gt;0,"razsvetljava, ",""),IF(CG312&gt;0,"energetsko upravljanje, ",""),IF(CH312&gt;0,"manjši investicijski in organizacijski ukrepi, ",""))</f>
        <v xml:space="preserve">razsvetljava, energetsko upravljanje, manjši investicijski in organizacijski ukrepi, </v>
      </c>
      <c r="CM312" s="9" t="e">
        <f>+CJ312*0.9</f>
        <v>#REF!</v>
      </c>
      <c r="CN312" s="9" t="e">
        <f>+CJ312*0.9</f>
        <v>#REF!</v>
      </c>
      <c r="CO312" s="9" t="e">
        <f>+CJ312*0.9</f>
        <v>#REF!</v>
      </c>
      <c r="CP312" s="69" t="e">
        <f>+IF(CI312-SUM(CM312:CO312)&lt;0,0,CI312-SUM(CM312:CO312))</f>
        <v>#REF!</v>
      </c>
      <c r="CQ312" s="52"/>
      <c r="CR312" s="52"/>
      <c r="CS312" s="52"/>
      <c r="CT312" s="52"/>
      <c r="CU312" s="52"/>
      <c r="CV312" s="52"/>
      <c r="CW312" s="52"/>
      <c r="CX312" s="120"/>
    </row>
    <row r="313" spans="1:102" ht="18" hidden="1" customHeight="1">
      <c r="A313" s="53" t="s">
        <v>269</v>
      </c>
      <c r="B313" s="2" t="s">
        <v>270</v>
      </c>
      <c r="C313" s="57"/>
      <c r="D313" s="57"/>
      <c r="E313" s="51" t="s">
        <v>1174</v>
      </c>
      <c r="F313" s="51"/>
      <c r="G313" s="51">
        <v>4</v>
      </c>
      <c r="H313" s="51"/>
      <c r="I313" s="51"/>
      <c r="J313" s="51">
        <v>7</v>
      </c>
      <c r="K313" s="37" t="s">
        <v>1244</v>
      </c>
      <c r="L313" s="50"/>
      <c r="M313" s="4" t="s">
        <v>5</v>
      </c>
      <c r="N313" s="25">
        <v>52.44</v>
      </c>
      <c r="O313" s="25"/>
      <c r="P313" s="25"/>
      <c r="Q313" s="25"/>
      <c r="R313" s="25"/>
      <c r="S313" s="25"/>
      <c r="T313" s="25">
        <v>14.95</v>
      </c>
      <c r="U313" s="25">
        <v>67.39</v>
      </c>
      <c r="V313" s="30">
        <v>40.625</v>
      </c>
      <c r="W313" s="30">
        <v>142.5</v>
      </c>
      <c r="X313" s="31">
        <v>45.1</v>
      </c>
      <c r="Y313" s="31"/>
      <c r="Z313" s="31"/>
      <c r="AA313" s="31"/>
      <c r="AB313" s="31"/>
      <c r="AC313" s="31">
        <v>15.26</v>
      </c>
      <c r="AD313" s="31"/>
      <c r="AE313" s="32">
        <v>122.55434782608695</v>
      </c>
      <c r="AF313" s="1">
        <v>116</v>
      </c>
      <c r="AG313" s="4"/>
      <c r="AH313" s="4">
        <v>1</v>
      </c>
      <c r="AI313" s="6">
        <v>368</v>
      </c>
      <c r="AJ313" s="38">
        <v>100</v>
      </c>
      <c r="AK313" s="3"/>
      <c r="AL313" s="1"/>
      <c r="AM313" s="37"/>
      <c r="AN313" s="37"/>
      <c r="AO313" s="37"/>
      <c r="AP313" s="37"/>
      <c r="AQ313" s="37"/>
      <c r="AR313" s="37"/>
      <c r="AS313" s="37"/>
      <c r="AT313" s="37"/>
      <c r="AU313" s="37"/>
      <c r="AV313" s="37"/>
      <c r="AW313" s="37"/>
      <c r="AX313" s="37"/>
      <c r="AY313" s="37"/>
      <c r="AZ313" s="37"/>
      <c r="BA313" s="37"/>
      <c r="BB313" s="37"/>
      <c r="BC313" s="37"/>
      <c r="BD313" s="37"/>
      <c r="BE313" s="37"/>
      <c r="BF313" s="37"/>
      <c r="BG313" s="42">
        <v>96.22</v>
      </c>
      <c r="BH313" s="42"/>
      <c r="BI313" s="42"/>
      <c r="BJ313" s="42"/>
      <c r="BK313" s="44">
        <v>96.22</v>
      </c>
      <c r="BL313" s="44">
        <v>14.95</v>
      </c>
      <c r="BM313" s="44">
        <f>+BK313+BL313</f>
        <v>111.17</v>
      </c>
      <c r="BN313" s="47">
        <v>261.46739130434781</v>
      </c>
      <c r="BO313" s="47">
        <v>40.625</v>
      </c>
      <c r="BP313" s="45">
        <v>302.09239130434781</v>
      </c>
      <c r="BQ313" s="6">
        <v>368</v>
      </c>
      <c r="BR313" s="4"/>
      <c r="BS313" s="4"/>
      <c r="BT313" s="4"/>
      <c r="BU313" s="4"/>
      <c r="BV313" s="4"/>
      <c r="BW313" s="4"/>
      <c r="BX313" s="4"/>
      <c r="BY313" s="9">
        <f>+INT(BK313*faktorji!$B$3)</f>
        <v>6254</v>
      </c>
      <c r="BZ313" s="9">
        <f>+INT(BL313*faktorji!$B$4)</f>
        <v>2466</v>
      </c>
      <c r="CA313" s="4"/>
      <c r="CB313" s="4">
        <v>0</v>
      </c>
      <c r="CC313" s="4">
        <v>0</v>
      </c>
      <c r="CD313" s="4">
        <v>0</v>
      </c>
      <c r="CE313" s="4">
        <v>0</v>
      </c>
      <c r="CF313" s="4">
        <v>1</v>
      </c>
      <c r="CG313" s="4">
        <v>1</v>
      </c>
      <c r="CH313" s="4">
        <v>1</v>
      </c>
      <c r="CI313" s="9">
        <f>+BQ313*(CB313*faktorji!$B$21+'MOL_tabela rezultatov'!CF104*faktorji!$B$23+'MOL_tabela rezultatov'!CH104*faktorji!$B$26)+faktorji!$B$27*CG313</f>
        <v>24072</v>
      </c>
      <c r="CJ313" s="9">
        <f>+(BZ313*CF313*faktorji!$B$18)+(CG313*faktorji!$B$17*('MOL_tabela rezultatov'!BY104+'MOL_tabela rezultatov'!BZ104))+('MOL_tabela rezultatov'!CH104*faktorji!$B$16*'MOL_tabela rezultatov'!BY104)+('MOL_tabela rezultatov'!CB104*faktorji!$B$12*'MOL_tabela rezultatov'!BY104)</f>
        <v>6457.5</v>
      </c>
      <c r="CK313" s="66">
        <f>+CI313/CJ313</f>
        <v>3.7277584204413472</v>
      </c>
      <c r="CL313" s="3" t="str">
        <f>CONCATENATE(IF(CB313&gt;0,"kotlovnica/toplotna postaja, ",""),IF(CF313&gt;0,"razsvetljava, ",""),IF(CG313&gt;0,"energetsko upravljanje, ",""),IF(CH313&gt;0,"manjši investicijski in organizacijski ukrepi, ",""))</f>
        <v xml:space="preserve">razsvetljava, energetsko upravljanje, manjši investicijski in organizacijski ukrepi, </v>
      </c>
      <c r="CM313" s="9">
        <f>+CJ313*0.9</f>
        <v>5811.75</v>
      </c>
      <c r="CN313" s="9">
        <f>+CJ313*0.9</f>
        <v>5811.75</v>
      </c>
      <c r="CO313" s="9">
        <f>+CJ313*0.9</f>
        <v>5811.75</v>
      </c>
      <c r="CP313" s="69">
        <f>+IF(CI313-SUM(CM313:CO313)&lt;0,0,CI313-SUM(CM313:CO313))</f>
        <v>6636.75</v>
      </c>
      <c r="CQ313" s="52"/>
      <c r="CR313" s="52"/>
      <c r="CS313" s="52"/>
      <c r="CT313" s="52"/>
      <c r="CU313" s="52"/>
      <c r="CV313" s="52"/>
      <c r="CW313" s="52"/>
      <c r="CX313" s="120"/>
    </row>
    <row r="314" spans="1:102" ht="18" hidden="1" customHeight="1">
      <c r="A314" s="54" t="s">
        <v>128</v>
      </c>
      <c r="B314" s="3" t="s">
        <v>129</v>
      </c>
      <c r="C314" s="56"/>
      <c r="D314" s="56"/>
      <c r="E314" s="51" t="s">
        <v>1169</v>
      </c>
      <c r="F314" s="51"/>
      <c r="G314" s="51">
        <v>4</v>
      </c>
      <c r="H314" s="51"/>
      <c r="I314" s="51"/>
      <c r="J314" s="51">
        <v>6</v>
      </c>
      <c r="K314" s="37" t="s">
        <v>1242</v>
      </c>
      <c r="L314" s="50"/>
      <c r="M314" s="5" t="s">
        <v>5</v>
      </c>
      <c r="N314" s="25">
        <v>36.033149122807025</v>
      </c>
      <c r="O314" s="25"/>
      <c r="P314" s="25"/>
      <c r="Q314" s="25"/>
      <c r="R314" s="25"/>
      <c r="S314" s="25"/>
      <c r="T314" s="25">
        <v>14.209149122807018</v>
      </c>
      <c r="U314" s="25">
        <v>50.242298245614045</v>
      </c>
      <c r="V314" s="30">
        <v>45.835964912280701</v>
      </c>
      <c r="W314" s="30">
        <v>116.23596491228072</v>
      </c>
      <c r="X314" s="31"/>
      <c r="Y314" s="31"/>
      <c r="Z314" s="31"/>
      <c r="AA314" s="31"/>
      <c r="AB314" s="31"/>
      <c r="AC314" s="31"/>
      <c r="AD314" s="31"/>
      <c r="AE314" s="32">
        <v>0</v>
      </c>
      <c r="AF314" s="1"/>
      <c r="AG314" s="4"/>
      <c r="AH314" s="4"/>
      <c r="AI314" s="6">
        <v>310</v>
      </c>
      <c r="AJ314" s="38">
        <v>100</v>
      </c>
      <c r="AK314" s="34" t="s">
        <v>130</v>
      </c>
      <c r="AL314" s="1" t="s">
        <v>120</v>
      </c>
      <c r="AM314" s="37"/>
      <c r="AN314" s="37"/>
      <c r="AO314" s="37"/>
      <c r="AP314" s="37"/>
      <c r="AQ314" s="37"/>
      <c r="AR314" s="37"/>
      <c r="AS314" s="37"/>
      <c r="AT314" s="37"/>
      <c r="AU314" s="37"/>
      <c r="AV314" s="37"/>
      <c r="AW314" s="37"/>
      <c r="AX314" s="37"/>
      <c r="AY314" s="37"/>
      <c r="AZ314" s="37"/>
      <c r="BA314" s="37"/>
      <c r="BB314" s="37"/>
      <c r="BC314" s="37"/>
      <c r="BD314" s="37"/>
      <c r="BE314" s="37"/>
      <c r="BF314" s="37"/>
      <c r="BG314" s="42">
        <v>96.7</v>
      </c>
      <c r="BH314" s="42"/>
      <c r="BI314" s="42"/>
      <c r="BJ314" s="42"/>
      <c r="BK314" s="44">
        <v>96.7</v>
      </c>
      <c r="BL314" s="44">
        <v>43.693199999999997</v>
      </c>
      <c r="BM314" s="44">
        <f>+BK314+BL314</f>
        <v>140.39320000000001</v>
      </c>
      <c r="BN314" s="47">
        <v>202.72536687631026</v>
      </c>
      <c r="BO314" s="47">
        <v>91.6</v>
      </c>
      <c r="BP314" s="45">
        <v>294.32536687631028</v>
      </c>
      <c r="BQ314" s="9">
        <v>477</v>
      </c>
      <c r="BR314" s="4"/>
      <c r="BS314" s="4"/>
      <c r="BT314" s="4" t="s">
        <v>884</v>
      </c>
      <c r="BU314" s="4" t="s">
        <v>1106</v>
      </c>
      <c r="BV314" s="4"/>
      <c r="BW314" s="4"/>
      <c r="BX314" s="4"/>
      <c r="BY314" s="9">
        <f>+INT(BK314*faktorji!$B$3)</f>
        <v>6285</v>
      </c>
      <c r="BZ314" s="9">
        <f>+INT(BL314*faktorji!$B$4)</f>
        <v>7209</v>
      </c>
      <c r="CA314" s="4"/>
      <c r="CB314" s="4">
        <v>0</v>
      </c>
      <c r="CC314" s="4">
        <v>0</v>
      </c>
      <c r="CD314" s="4">
        <v>0</v>
      </c>
      <c r="CE314" s="4">
        <v>0</v>
      </c>
      <c r="CF314" s="4">
        <v>1</v>
      </c>
      <c r="CG314" s="4">
        <v>1</v>
      </c>
      <c r="CH314" s="4">
        <v>1</v>
      </c>
      <c r="CI314" s="9">
        <f>+BQ314*(CB314*faktorji!$B$21+'MOL_tabela rezultatov'!CF44*faktorji!$B$23+'MOL_tabela rezultatov'!CH44*faktorji!$B$26)+faktorji!$B$27*CG314</f>
        <v>25870.5</v>
      </c>
      <c r="CJ314" s="9">
        <f>+(BZ314*CF314*faktorji!$B$18)+(CG314*faktorji!$B$17*('MOL_tabela rezultatov'!BY44+'MOL_tabela rezultatov'!BZ44))+('MOL_tabela rezultatov'!CH44*faktorji!$B$16*'MOL_tabela rezultatov'!BY44)+('MOL_tabela rezultatov'!CB44*faktorji!$B$12*'MOL_tabela rezultatov'!BY44)</f>
        <v>4440.1500000000005</v>
      </c>
      <c r="CK314" s="66">
        <f>+CI314/CJ314</f>
        <v>5.8264923482314783</v>
      </c>
      <c r="CL314" s="3" t="str">
        <f>CONCATENATE(IF(CB314&gt;0,"kotlovnica/toplotna postaja, ",""),IF(CF314&gt;0,"razsvetljava, ",""),IF(CG314&gt;0,"energetsko upravljanje, ",""),IF(CH314&gt;0,"manjši investicijski in organizacijski ukrepi, ",""))</f>
        <v xml:space="preserve">razsvetljava, energetsko upravljanje, manjši investicijski in organizacijski ukrepi, </v>
      </c>
      <c r="CM314" s="9">
        <f>+CJ314*0.9</f>
        <v>3996.1350000000007</v>
      </c>
      <c r="CN314" s="9">
        <f>+CJ314*0.9</f>
        <v>3996.1350000000007</v>
      </c>
      <c r="CO314" s="9">
        <f>+CJ314*0.9</f>
        <v>3996.1350000000007</v>
      </c>
      <c r="CP314" s="69">
        <f>+IF(CI314-SUM(CM314:CO314)&lt;0,0,CI314-SUM(CM314:CO314))</f>
        <v>13882.094999999998</v>
      </c>
      <c r="CQ314" s="52"/>
      <c r="CR314" s="52"/>
      <c r="CS314" s="52"/>
      <c r="CT314" s="52"/>
      <c r="CU314" s="52"/>
      <c r="CV314" s="52"/>
      <c r="CW314" s="52"/>
      <c r="CX314" s="120"/>
    </row>
    <row r="315" spans="1:102" ht="18" hidden="1" customHeight="1">
      <c r="A315" s="53" t="s">
        <v>718</v>
      </c>
      <c r="B315" s="2" t="s">
        <v>719</v>
      </c>
      <c r="C315" s="57"/>
      <c r="D315" s="57"/>
      <c r="E315" s="51" t="s">
        <v>1176</v>
      </c>
      <c r="F315" s="51"/>
      <c r="G315" s="51">
        <v>2</v>
      </c>
      <c r="H315" s="51" t="s">
        <v>1254</v>
      </c>
      <c r="I315" s="51"/>
      <c r="J315" s="51">
        <v>2</v>
      </c>
      <c r="K315" s="37" t="s">
        <v>1243</v>
      </c>
      <c r="L315" s="50"/>
      <c r="M315" s="4" t="s">
        <v>6</v>
      </c>
      <c r="N315" s="25"/>
      <c r="O315" s="25">
        <v>278.10000000000002</v>
      </c>
      <c r="P315" s="25"/>
      <c r="Q315" s="25"/>
      <c r="R315" s="25"/>
      <c r="S315" s="25"/>
      <c r="T315" s="25">
        <v>39.720999999999997</v>
      </c>
      <c r="U315" s="25">
        <v>317.82100000000003</v>
      </c>
      <c r="V315" s="30">
        <v>37.01863932898415</v>
      </c>
      <c r="W315" s="30">
        <v>259.1798695246971</v>
      </c>
      <c r="X315" s="31"/>
      <c r="Y315" s="31"/>
      <c r="Z315" s="31"/>
      <c r="AA315" s="31"/>
      <c r="AB315" s="31"/>
      <c r="AC315" s="31"/>
      <c r="AD315" s="31"/>
      <c r="AE315" s="32"/>
      <c r="AF315" s="16" t="s">
        <v>720</v>
      </c>
      <c r="AG315" s="3">
        <v>2002</v>
      </c>
      <c r="AH315" s="4"/>
      <c r="AI315" s="6">
        <v>1073</v>
      </c>
      <c r="AJ315" s="38">
        <v>100</v>
      </c>
      <c r="AK315" s="3"/>
      <c r="AL315" s="1" t="s">
        <v>721</v>
      </c>
      <c r="AM315" s="37"/>
      <c r="AN315" s="37"/>
      <c r="AO315" s="37"/>
      <c r="AP315" s="37"/>
      <c r="AQ315" s="37">
        <f>(28698*9.5)/1000</f>
        <v>272.63099999999997</v>
      </c>
      <c r="AR315" s="37">
        <f>(33375*9.5)/1000</f>
        <v>317.0625</v>
      </c>
      <c r="AS315" s="37">
        <f>(16791*9.5)/1000</f>
        <v>159.5145</v>
      </c>
      <c r="AT315" s="37">
        <f>(27970*9.5)/1000</f>
        <v>265.71499999999997</v>
      </c>
      <c r="AU315" s="37"/>
      <c r="AV315" s="37"/>
      <c r="AW315" s="37"/>
      <c r="AX315" s="37"/>
      <c r="AY315" s="37"/>
      <c r="AZ315" s="37"/>
      <c r="BA315" s="37"/>
      <c r="BB315" s="37"/>
      <c r="BC315" s="37">
        <v>106.3</v>
      </c>
      <c r="BD315" s="37">
        <v>110.3</v>
      </c>
      <c r="BE315" s="37">
        <v>95.5</v>
      </c>
      <c r="BF315" s="37">
        <v>102.2</v>
      </c>
      <c r="BG315" s="42"/>
      <c r="BH315" s="42">
        <v>253.73075</v>
      </c>
      <c r="BI315" s="42"/>
      <c r="BJ315" s="42"/>
      <c r="BK315" s="44">
        <v>253.73075</v>
      </c>
      <c r="BL315" s="44">
        <v>103.575</v>
      </c>
      <c r="BM315" s="44">
        <f>+BK315+BL315</f>
        <v>357.30574999999999</v>
      </c>
      <c r="BN315" s="47">
        <v>243.27013422818791</v>
      </c>
      <c r="BO315" s="47">
        <v>99.304889741131348</v>
      </c>
      <c r="BP315" s="45">
        <v>342.57502396931926</v>
      </c>
      <c r="BQ315" s="9">
        <v>1043</v>
      </c>
      <c r="BR315" s="4" t="s">
        <v>923</v>
      </c>
      <c r="BS315" s="4">
        <v>2002</v>
      </c>
      <c r="BT315" s="4" t="s">
        <v>872</v>
      </c>
      <c r="BU315" s="4" t="s">
        <v>924</v>
      </c>
      <c r="BV315" s="4" t="s">
        <v>871</v>
      </c>
      <c r="BW315" s="4"/>
      <c r="BX315" s="4" t="s">
        <v>925</v>
      </c>
      <c r="BY315" s="9">
        <f>+INT(BK315*faktorji!$B$5)</f>
        <v>24104</v>
      </c>
      <c r="BZ315" s="9">
        <f>+INT(BL315*faktorji!$B$4)</f>
        <v>17089</v>
      </c>
      <c r="CA315" s="3" t="s">
        <v>1304</v>
      </c>
      <c r="CB315" s="4">
        <v>0</v>
      </c>
      <c r="CC315" s="4">
        <v>1</v>
      </c>
      <c r="CD315" s="4">
        <v>0</v>
      </c>
      <c r="CE315" s="4">
        <v>1</v>
      </c>
      <c r="CF315" s="4">
        <v>1</v>
      </c>
      <c r="CG315" s="4">
        <v>1</v>
      </c>
      <c r="CH315" s="4">
        <v>1</v>
      </c>
      <c r="CI315" s="9">
        <f>+BQ315*(CB315*faktorji!$B$21+'MOL_tabela rezultatov'!CF263*faktorji!$B$23+'MOL_tabela rezultatov'!CH263*faktorji!$B$26)+faktorji!$B$27*CG315</f>
        <v>35209.5</v>
      </c>
      <c r="CJ315" s="9">
        <f>+(BZ315*CF315*faktorji!$B$18)+(CG315*faktorji!$B$17*('MOL_tabela rezultatov'!BY263+'MOL_tabela rezultatov'!BZ263))+('MOL_tabela rezultatov'!CH263*faktorji!$B$16*'MOL_tabela rezultatov'!BY263)+('MOL_tabela rezultatov'!CB263*faktorji!$B$12*'MOL_tabela rezultatov'!BY263)</f>
        <v>4890.3500000000004</v>
      </c>
      <c r="CK315" s="66">
        <f>+CI315/CJ315</f>
        <v>7.1997914259715561</v>
      </c>
      <c r="CL315" s="3" t="str">
        <f>CONCATENATE(IF(CB315&gt;0,"kotlovnica/toplotna postaja, ",""),IF(CF315&gt;0,"razsvetljava, ",""),IF(CG315&gt;0,"energetsko upravljanje, ",""),IF(CH315&gt;0,"manjši investicijski in organizacijski ukrepi, ",""))</f>
        <v xml:space="preserve">razsvetljava, energetsko upravljanje, manjši investicijski in organizacijski ukrepi, </v>
      </c>
      <c r="CM315" s="9">
        <f>+CJ315*0.9</f>
        <v>4401.3150000000005</v>
      </c>
      <c r="CN315" s="9">
        <f>+CJ315*0.9</f>
        <v>4401.3150000000005</v>
      </c>
      <c r="CO315" s="9">
        <f>+CJ315*0.9</f>
        <v>4401.3150000000005</v>
      </c>
      <c r="CP315" s="69">
        <f>+IF(CI315-SUM(CM315:CO315)&lt;0,0,CI315-SUM(CM315:CO315))</f>
        <v>22005.555</v>
      </c>
      <c r="CQ315" s="52"/>
      <c r="CR315" s="52"/>
      <c r="CS315" s="52"/>
      <c r="CT315" s="52"/>
      <c r="CU315" s="52"/>
      <c r="CV315" s="52"/>
      <c r="CW315" s="52"/>
      <c r="CX315" s="120"/>
    </row>
    <row r="316" spans="1:102" ht="18" hidden="1" customHeight="1">
      <c r="A316" s="53" t="s">
        <v>508</v>
      </c>
      <c r="B316" s="2" t="s">
        <v>509</v>
      </c>
      <c r="C316" s="57"/>
      <c r="D316" s="57"/>
      <c r="E316" s="51" t="s">
        <v>1175</v>
      </c>
      <c r="F316" s="51"/>
      <c r="G316" s="51">
        <v>3</v>
      </c>
      <c r="H316" s="51"/>
      <c r="I316" s="51"/>
      <c r="J316" s="51">
        <v>7</v>
      </c>
      <c r="K316" s="37" t="s">
        <v>1241</v>
      </c>
      <c r="L316" s="50"/>
      <c r="M316" s="4" t="s">
        <v>7</v>
      </c>
      <c r="N316" s="25"/>
      <c r="O316" s="25"/>
      <c r="P316" s="28">
        <v>250</v>
      </c>
      <c r="Q316" s="25"/>
      <c r="R316" s="25"/>
      <c r="S316" s="25"/>
      <c r="T316" s="25">
        <v>55.3</v>
      </c>
      <c r="U316" s="25">
        <v>305.3</v>
      </c>
      <c r="V316" s="30">
        <v>40.188953488372093</v>
      </c>
      <c r="W316" s="30">
        <v>181.68604651162789</v>
      </c>
      <c r="X316" s="31"/>
      <c r="Y316" s="31"/>
      <c r="Z316" s="31"/>
      <c r="AA316" s="31"/>
      <c r="AB316" s="31"/>
      <c r="AC316" s="31"/>
      <c r="AD316" s="31"/>
      <c r="AE316" s="32"/>
      <c r="AF316" s="16" t="s">
        <v>510</v>
      </c>
      <c r="AG316" s="3">
        <v>1985</v>
      </c>
      <c r="AH316" s="4"/>
      <c r="AI316" s="6">
        <v>1376</v>
      </c>
      <c r="AJ316" s="38">
        <v>100</v>
      </c>
      <c r="AK316" s="3"/>
      <c r="AL316" s="1" t="s">
        <v>472</v>
      </c>
      <c r="AM316" s="37"/>
      <c r="AN316" s="37"/>
      <c r="AO316" s="37"/>
      <c r="AP316" s="37"/>
      <c r="AQ316" s="37"/>
      <c r="AR316" s="37"/>
      <c r="AS316" s="37"/>
      <c r="AT316" s="37"/>
      <c r="AU316" s="39"/>
      <c r="AV316" s="39"/>
      <c r="AW316" s="39"/>
      <c r="AX316" s="39"/>
      <c r="AY316" s="37"/>
      <c r="AZ316" s="37"/>
      <c r="BA316" s="37"/>
      <c r="BB316" s="37"/>
      <c r="BC316" s="37"/>
      <c r="BD316" s="37"/>
      <c r="BE316" s="37"/>
      <c r="BF316" s="37"/>
      <c r="BG316" s="42"/>
      <c r="BH316" s="42"/>
      <c r="BI316" s="42"/>
      <c r="BJ316" s="42"/>
      <c r="BK316" s="44"/>
      <c r="BL316" s="44"/>
      <c r="BM316" s="44">
        <f>+BK316+BL316</f>
        <v>0</v>
      </c>
      <c r="BN316" s="48"/>
      <c r="BO316" s="48"/>
      <c r="BP316" s="46"/>
      <c r="BQ316" s="7"/>
      <c r="BR316" s="4"/>
      <c r="BS316" s="4"/>
      <c r="BT316" s="4"/>
      <c r="BU316" s="4"/>
      <c r="BV316" s="4"/>
      <c r="BW316" s="4"/>
      <c r="BX316" s="4" t="s">
        <v>1164</v>
      </c>
      <c r="BY316" s="9">
        <f>+INT(BK316*faktorji!$B$6)</f>
        <v>0</v>
      </c>
      <c r="BZ316" s="9">
        <f>+INT(BL316*faktorji!$B$4)</f>
        <v>0</v>
      </c>
      <c r="CA316" s="4"/>
      <c r="CB316" s="4">
        <v>0</v>
      </c>
      <c r="CC316" s="4">
        <v>0</v>
      </c>
      <c r="CD316" s="4">
        <v>0</v>
      </c>
      <c r="CE316" s="4">
        <v>0</v>
      </c>
      <c r="CF316" s="4">
        <v>0</v>
      </c>
      <c r="CG316" s="4">
        <v>1</v>
      </c>
      <c r="CH316" s="4">
        <v>1</v>
      </c>
      <c r="CI316" s="9">
        <f>+BQ316*(CB316*faktorji!$B$21+'MOL_tabela rezultatov'!CF196*faktorji!$B$23+'MOL_tabela rezultatov'!CH196*faktorji!$B$26)+faktorji!$B$27*CG316</f>
        <v>18000</v>
      </c>
      <c r="CJ316" s="9">
        <f>+(BZ316*CF316*faktorji!$B$18)+(CG316*faktorji!$B$17*('MOL_tabela rezultatov'!BY196+'MOL_tabela rezultatov'!BZ196))+('MOL_tabela rezultatov'!CH196*faktorji!$B$16*'MOL_tabela rezultatov'!BY196)+('MOL_tabela rezultatov'!CB196*faktorji!$B$12*'MOL_tabela rezultatov'!BY196)</f>
        <v>8939.5</v>
      </c>
      <c r="CK316" s="66">
        <f>+CI316/CJ316</f>
        <v>2.0135354326304604</v>
      </c>
      <c r="CL316" s="3" t="str">
        <f>CONCATENATE(IF(CB316&gt;0,"kotlovnica/toplotna postaja, ",""),IF(CF316&gt;0,"razsvetljava, ",""),IF(CG316&gt;0,"energetsko upravljanje, ",""),IF(CH316&gt;0,"manjši investicijski in organizacijski ukrepi, ",""))</f>
        <v xml:space="preserve">energetsko upravljanje, manjši investicijski in organizacijski ukrepi, </v>
      </c>
      <c r="CM316" s="9">
        <f>+CJ316*0.9</f>
        <v>8045.55</v>
      </c>
      <c r="CN316" s="9">
        <f>+CJ316*0.9</f>
        <v>8045.55</v>
      </c>
      <c r="CO316" s="9">
        <f>+CJ316*0.9</f>
        <v>8045.55</v>
      </c>
      <c r="CP316" s="69">
        <f>+IF(CI316-SUM(CM316:CO316)&lt;0,0,CI316-SUM(CM316:CO316))</f>
        <v>0</v>
      </c>
      <c r="CQ316" s="52"/>
      <c r="CR316" s="52"/>
      <c r="CS316" s="52"/>
      <c r="CT316" s="52"/>
      <c r="CU316" s="52"/>
      <c r="CV316" s="52"/>
      <c r="CW316" s="52"/>
      <c r="CX316" s="120"/>
    </row>
    <row r="317" spans="1:102" ht="18" hidden="1" customHeight="1">
      <c r="A317" s="53" t="s">
        <v>292</v>
      </c>
      <c r="B317" s="2" t="s">
        <v>295</v>
      </c>
      <c r="C317" s="57"/>
      <c r="D317" s="57"/>
      <c r="E317" s="51" t="s">
        <v>1174</v>
      </c>
      <c r="F317" s="51"/>
      <c r="G317" s="51">
        <v>4</v>
      </c>
      <c r="H317" s="51"/>
      <c r="I317" s="51"/>
      <c r="J317" s="51">
        <v>7</v>
      </c>
      <c r="K317" s="37" t="s">
        <v>1241</v>
      </c>
      <c r="L317" s="50"/>
      <c r="M317" s="4" t="s">
        <v>7</v>
      </c>
      <c r="N317" s="25"/>
      <c r="O317" s="25"/>
      <c r="P317" s="25">
        <v>51.464344069501948</v>
      </c>
      <c r="Q317" s="25"/>
      <c r="R317" s="25"/>
      <c r="S317" s="25"/>
      <c r="T317" s="25">
        <v>10.220000000000001</v>
      </c>
      <c r="U317" s="25">
        <v>61.684344069501947</v>
      </c>
      <c r="V317" s="30">
        <v>28.1914647325919</v>
      </c>
      <c r="W317" s="30">
        <v>141.96235233085511</v>
      </c>
      <c r="X317" s="31"/>
      <c r="Y317" s="31"/>
      <c r="Z317" s="31"/>
      <c r="AA317" s="31"/>
      <c r="AB317" s="31"/>
      <c r="AC317" s="31">
        <v>6.47</v>
      </c>
      <c r="AD317" s="31"/>
      <c r="AE317" s="32"/>
      <c r="AF317" s="1"/>
      <c r="AG317" s="4"/>
      <c r="AH317" s="4"/>
      <c r="AI317" s="6">
        <v>362.52107142857142</v>
      </c>
      <c r="AJ317" s="38"/>
      <c r="AK317" s="3"/>
      <c r="AL317" s="1"/>
      <c r="AM317" s="37"/>
      <c r="AN317" s="37"/>
      <c r="AO317" s="37"/>
      <c r="AP317" s="37"/>
      <c r="AQ317" s="37"/>
      <c r="AR317" s="37"/>
      <c r="AS317" s="37"/>
      <c r="AT317" s="37"/>
      <c r="AU317" s="37"/>
      <c r="AV317" s="37"/>
      <c r="AW317" s="37"/>
      <c r="AX317" s="37"/>
      <c r="AY317" s="37"/>
      <c r="AZ317" s="37"/>
      <c r="BA317" s="37"/>
      <c r="BB317" s="37"/>
      <c r="BC317" s="37"/>
      <c r="BD317" s="37"/>
      <c r="BE317" s="37"/>
      <c r="BF317" s="37"/>
      <c r="BG317" s="42"/>
      <c r="BH317" s="42"/>
      <c r="BI317" s="42">
        <v>47.226299999999995</v>
      </c>
      <c r="BJ317" s="42"/>
      <c r="BK317" s="44">
        <v>47.226299999999995</v>
      </c>
      <c r="BL317" s="44">
        <v>10.220000000000001</v>
      </c>
      <c r="BM317" s="44">
        <f>+BK317+BL317</f>
        <v>57.446299999999994</v>
      </c>
      <c r="BN317" s="47">
        <v>130.1</v>
      </c>
      <c r="BO317" s="47">
        <v>28.15426997245179</v>
      </c>
      <c r="BP317" s="45">
        <v>158.25426997245177</v>
      </c>
      <c r="BQ317" s="6">
        <v>363</v>
      </c>
      <c r="BR317" s="4"/>
      <c r="BS317" s="4"/>
      <c r="BT317" s="4"/>
      <c r="BU317" s="4"/>
      <c r="BV317" s="4"/>
      <c r="BW317" s="4"/>
      <c r="BX317" s="4"/>
      <c r="BY317" s="9">
        <f>+INT(BK317*faktorji!$B$6)</f>
        <v>5903</v>
      </c>
      <c r="BZ317" s="9">
        <f>+INT(BL317*faktorji!$B$4)</f>
        <v>1686</v>
      </c>
      <c r="CA317" s="4"/>
      <c r="CB317" s="4">
        <v>0</v>
      </c>
      <c r="CC317" s="4">
        <v>0</v>
      </c>
      <c r="CD317" s="4">
        <v>0</v>
      </c>
      <c r="CE317" s="4">
        <v>0</v>
      </c>
      <c r="CF317" s="4">
        <v>1</v>
      </c>
      <c r="CG317" s="4">
        <v>1</v>
      </c>
      <c r="CH317" s="4">
        <v>1</v>
      </c>
      <c r="CI317" s="9">
        <f>+BQ317*(CB317*faktorji!$B$21+'MOL_tabela rezultatov'!CF114*faktorji!$B$23+'MOL_tabela rezultatov'!CH114*faktorji!$B$26)+faktorji!$B$27*CG317</f>
        <v>23989.5</v>
      </c>
      <c r="CJ317" s="9">
        <f>+(BZ317*CF317*faktorji!$B$18)+(CG317*faktorji!$B$17*('MOL_tabela rezultatov'!BY114+'MOL_tabela rezultatov'!BZ114))+('MOL_tabela rezultatov'!CH114*faktorji!$B$16*'MOL_tabela rezultatov'!BY114)+('MOL_tabela rezultatov'!CB114*faktorji!$B$12*'MOL_tabela rezultatov'!BY114)</f>
        <v>9673.4</v>
      </c>
      <c r="CK317" s="66">
        <f>+CI317/CJ317</f>
        <v>2.479945003824922</v>
      </c>
      <c r="CL317" s="3" t="str">
        <f>CONCATENATE(IF(CB317&gt;0,"kotlovnica/toplotna postaja, ",""),IF(CF317&gt;0,"razsvetljava, ",""),IF(CG317&gt;0,"energetsko upravljanje, ",""),IF(CH317&gt;0,"manjši investicijski in organizacijski ukrepi, ",""))</f>
        <v xml:space="preserve">razsvetljava, energetsko upravljanje, manjši investicijski in organizacijski ukrepi, </v>
      </c>
      <c r="CM317" s="9">
        <f>+CJ317*0.9</f>
        <v>8706.06</v>
      </c>
      <c r="CN317" s="9">
        <f>+CJ317*0.9</f>
        <v>8706.06</v>
      </c>
      <c r="CO317" s="9">
        <f>+CJ317*0.9</f>
        <v>8706.06</v>
      </c>
      <c r="CP317" s="69">
        <f>+IF(CI317-SUM(CM317:CO317)&lt;0,0,CI317-SUM(CM317:CO317))</f>
        <v>0</v>
      </c>
      <c r="CQ317" s="52"/>
      <c r="CR317" s="52"/>
      <c r="CS317" s="52"/>
      <c r="CT317" s="52"/>
      <c r="CU317" s="52"/>
      <c r="CV317" s="52"/>
      <c r="CW317" s="52"/>
      <c r="CX317" s="120"/>
    </row>
    <row r="318" spans="1:102" ht="18" hidden="1" customHeight="1">
      <c r="A318" s="54" t="s">
        <v>138</v>
      </c>
      <c r="B318" s="119" t="s">
        <v>1439</v>
      </c>
      <c r="C318" s="56"/>
      <c r="D318" s="56"/>
      <c r="E318" s="51" t="s">
        <v>1169</v>
      </c>
      <c r="F318" s="51"/>
      <c r="G318" s="51">
        <v>4</v>
      </c>
      <c r="H318" s="51"/>
      <c r="I318" s="51"/>
      <c r="J318" s="51">
        <v>6</v>
      </c>
      <c r="K318" s="37" t="s">
        <v>1242</v>
      </c>
      <c r="L318" s="50"/>
      <c r="M318" s="4" t="s">
        <v>7</v>
      </c>
      <c r="N318" s="25"/>
      <c r="O318" s="25"/>
      <c r="P318" s="25">
        <v>31.964890350877194</v>
      </c>
      <c r="Q318" s="25"/>
      <c r="R318" s="25"/>
      <c r="S318" s="25"/>
      <c r="T318" s="25">
        <v>12.604890350877193</v>
      </c>
      <c r="U318" s="25">
        <v>44.569780701754389</v>
      </c>
      <c r="V318" s="30">
        <v>45.835964912280701</v>
      </c>
      <c r="W318" s="30">
        <v>116.23596491228071</v>
      </c>
      <c r="X318" s="31"/>
      <c r="Y318" s="31"/>
      <c r="Z318" s="31"/>
      <c r="AA318" s="31"/>
      <c r="AB318" s="31"/>
      <c r="AC318" s="31"/>
      <c r="AD318" s="31"/>
      <c r="AE318" s="32"/>
      <c r="AF318" s="1"/>
      <c r="AG318" s="4"/>
      <c r="AH318" s="4"/>
      <c r="AI318" s="6">
        <v>275</v>
      </c>
      <c r="AJ318" s="38"/>
      <c r="AK318" s="34"/>
      <c r="AL318" s="1"/>
      <c r="AM318" s="37"/>
      <c r="AN318" s="37"/>
      <c r="AO318" s="37"/>
      <c r="AP318" s="37"/>
      <c r="AQ318" s="37"/>
      <c r="AR318" s="37"/>
      <c r="AS318" s="37"/>
      <c r="AT318" s="37"/>
      <c r="AU318" s="37"/>
      <c r="AV318" s="37"/>
      <c r="AW318" s="37"/>
      <c r="AX318" s="37"/>
      <c r="AY318" s="37"/>
      <c r="AZ318" s="37"/>
      <c r="BA318" s="37"/>
      <c r="BB318" s="37"/>
      <c r="BC318" s="37"/>
      <c r="BD318" s="37"/>
      <c r="BE318" s="37"/>
      <c r="BF318" s="37"/>
      <c r="BG318" s="42">
        <v>32.345999999999997</v>
      </c>
      <c r="BH318" s="42"/>
      <c r="BI318" s="42"/>
      <c r="BJ318" s="42"/>
      <c r="BK318" s="44">
        <v>32.345999999999997</v>
      </c>
      <c r="BL318" s="44">
        <v>24.731999999999999</v>
      </c>
      <c r="BM318" s="44">
        <f>+BK318+BL318</f>
        <v>57.077999999999996</v>
      </c>
      <c r="BN318" s="47">
        <v>119.8</v>
      </c>
      <c r="BO318" s="47">
        <v>91.6</v>
      </c>
      <c r="BP318" s="45">
        <v>211.39999999999998</v>
      </c>
      <c r="BQ318" s="9">
        <v>270</v>
      </c>
      <c r="BR318" s="4"/>
      <c r="BS318" s="4"/>
      <c r="BT318" s="4" t="s">
        <v>1111</v>
      </c>
      <c r="BU318" s="4"/>
      <c r="BV318" s="4" t="s">
        <v>871</v>
      </c>
      <c r="BW318" s="4" t="s">
        <v>980</v>
      </c>
      <c r="BX318" s="4"/>
      <c r="BY318" s="9">
        <f>+INT(BK318*faktorji!$B$6)</f>
        <v>4043</v>
      </c>
      <c r="BZ318" s="9">
        <f>+INT(BL318*faktorji!$B$4)</f>
        <v>4080</v>
      </c>
      <c r="CA318" s="4"/>
      <c r="CB318" s="4">
        <v>0</v>
      </c>
      <c r="CC318" s="4">
        <v>1</v>
      </c>
      <c r="CD318" s="4">
        <v>0</v>
      </c>
      <c r="CE318" s="4">
        <v>0</v>
      </c>
      <c r="CF318" s="4">
        <v>1</v>
      </c>
      <c r="CG318" s="4">
        <v>1</v>
      </c>
      <c r="CH318" s="4">
        <v>1</v>
      </c>
      <c r="CI318" s="9" t="e">
        <f>+BQ318*(CB318*faktorji!$B$21+'MOL_tabela rezultatov'!#REF!*faktorji!$B$23+'MOL_tabela rezultatov'!#REF!*faktorji!$B$26)+faktorji!$B$27*CG318</f>
        <v>#REF!</v>
      </c>
      <c r="CJ318" s="9" t="e">
        <f>+(BZ318*CF318*faktorji!$B$18)+(CG318*faktorji!$B$17*('MOL_tabela rezultatov'!#REF!+'MOL_tabela rezultatov'!#REF!))+('MOL_tabela rezultatov'!#REF!*faktorji!$B$16*'MOL_tabela rezultatov'!#REF!)+('MOL_tabela rezultatov'!#REF!*faktorji!$B$12*'MOL_tabela rezultatov'!#REF!)</f>
        <v>#REF!</v>
      </c>
      <c r="CK318" s="66" t="e">
        <f>+CI318/CJ318</f>
        <v>#REF!</v>
      </c>
      <c r="CL318" s="3" t="str">
        <f>CONCATENATE(IF(CB318&gt;0,"kotlovnica/toplotna postaja, ",""),IF(CF318&gt;0,"razsvetljava, ",""),IF(CG318&gt;0,"energetsko upravljanje, ",""),IF(CH318&gt;0,"manjši investicijski in organizacijski ukrepi, ",""))</f>
        <v xml:space="preserve">razsvetljava, energetsko upravljanje, manjši investicijski in organizacijski ukrepi, </v>
      </c>
      <c r="CM318" s="9" t="e">
        <f>+CJ318*0.9</f>
        <v>#REF!</v>
      </c>
      <c r="CN318" s="9" t="e">
        <f>+CJ318*0.9</f>
        <v>#REF!</v>
      </c>
      <c r="CO318" s="9" t="e">
        <f>+CJ318*0.9</f>
        <v>#REF!</v>
      </c>
      <c r="CP318" s="69" t="e">
        <f>+IF(CI318-SUM(CM318:CO318)&lt;0,0,CI318-SUM(CM318:CO318))</f>
        <v>#REF!</v>
      </c>
      <c r="CQ318" s="52"/>
      <c r="CR318" s="52"/>
      <c r="CS318" s="52"/>
      <c r="CT318" s="52"/>
      <c r="CU318" s="52"/>
      <c r="CV318" s="52"/>
      <c r="CW318" s="52"/>
      <c r="CX318" s="120"/>
    </row>
    <row r="319" spans="1:102" ht="18" hidden="1" customHeight="1">
      <c r="A319" s="53" t="s">
        <v>664</v>
      </c>
      <c r="B319" s="2" t="s">
        <v>665</v>
      </c>
      <c r="C319" s="57"/>
      <c r="D319" s="57"/>
      <c r="E319" s="51" t="s">
        <v>1176</v>
      </c>
      <c r="F319" s="51"/>
      <c r="G319" s="51">
        <v>3</v>
      </c>
      <c r="H319" s="51"/>
      <c r="I319" s="51"/>
      <c r="J319" s="51">
        <v>7</v>
      </c>
      <c r="K319" s="37" t="s">
        <v>1243</v>
      </c>
      <c r="L319" s="50"/>
      <c r="M319" s="4" t="s">
        <v>7</v>
      </c>
      <c r="N319" s="25"/>
      <c r="O319" s="25"/>
      <c r="P319" s="25">
        <v>210</v>
      </c>
      <c r="Q319" s="25"/>
      <c r="R319" s="25"/>
      <c r="S319" s="25"/>
      <c r="T319" s="25">
        <v>3.9990000000000001</v>
      </c>
      <c r="U319" s="25">
        <v>213.999</v>
      </c>
      <c r="V319" s="30">
        <v>12.009009009009009</v>
      </c>
      <c r="W319" s="30">
        <v>630.63063063063066</v>
      </c>
      <c r="X319" s="31"/>
      <c r="Y319" s="31"/>
      <c r="Z319" s="31"/>
      <c r="AA319" s="31"/>
      <c r="AB319" s="31"/>
      <c r="AC319" s="31"/>
      <c r="AD319" s="31"/>
      <c r="AE319" s="32"/>
      <c r="AF319" s="16" t="s">
        <v>666</v>
      </c>
      <c r="AG319" s="3">
        <v>1992</v>
      </c>
      <c r="AH319" s="4"/>
      <c r="AI319" s="6">
        <v>333</v>
      </c>
      <c r="AJ319" s="38">
        <v>100</v>
      </c>
      <c r="AK319" s="3"/>
      <c r="AL319" s="1" t="s">
        <v>421</v>
      </c>
      <c r="AM319" s="37"/>
      <c r="AN319" s="37"/>
      <c r="AO319" s="37"/>
      <c r="AP319" s="37"/>
      <c r="AQ319" s="37">
        <f>(7200*9.5)/1000</f>
        <v>68.400000000000006</v>
      </c>
      <c r="AR319" s="37">
        <f>(11100*9.5)/1000</f>
        <v>105.45</v>
      </c>
      <c r="AS319" s="37">
        <f>(9965*9.5)/1000</f>
        <v>94.667500000000004</v>
      </c>
      <c r="AT319" s="37">
        <f>(9151*9.5)/1000</f>
        <v>86.9345</v>
      </c>
      <c r="AU319" s="37"/>
      <c r="AV319" s="37"/>
      <c r="AW319" s="37"/>
      <c r="AX319" s="37"/>
      <c r="AY319" s="37"/>
      <c r="AZ319" s="37"/>
      <c r="BA319" s="37"/>
      <c r="BB319" s="37"/>
      <c r="BC319" s="37">
        <v>9.5</v>
      </c>
      <c r="BD319" s="37">
        <v>8.3000000000000007</v>
      </c>
      <c r="BE319" s="37">
        <v>8.1999999999999993</v>
      </c>
      <c r="BF319" s="37">
        <v>7.3</v>
      </c>
      <c r="BG319" s="42"/>
      <c r="BH319" s="42">
        <v>88.863000000000014</v>
      </c>
      <c r="BI319" s="42"/>
      <c r="BJ319" s="42"/>
      <c r="BK319" s="44">
        <v>88.863000000000014</v>
      </c>
      <c r="BL319" s="44">
        <v>8.3249999999999993</v>
      </c>
      <c r="BM319" s="44">
        <f>+BK319+BL319</f>
        <v>97.188000000000017</v>
      </c>
      <c r="BN319" s="47">
        <v>284.81730769230774</v>
      </c>
      <c r="BO319" s="47">
        <v>26.682692307692307</v>
      </c>
      <c r="BP319" s="45">
        <v>311.50000000000006</v>
      </c>
      <c r="BQ319" s="9">
        <v>312</v>
      </c>
      <c r="BR319" s="1" t="s">
        <v>900</v>
      </c>
      <c r="BS319" s="4">
        <v>2009</v>
      </c>
      <c r="BT319" s="4" t="s">
        <v>872</v>
      </c>
      <c r="BU319" s="4"/>
      <c r="BV319" s="4" t="s">
        <v>901</v>
      </c>
      <c r="BW319" s="4"/>
      <c r="BX319" s="4"/>
      <c r="BY319" s="9">
        <f>+INT(BK319*faktorji!$B$6)</f>
        <v>11107</v>
      </c>
      <c r="BZ319" s="9">
        <f>+INT(BL319*faktorji!$B$4)</f>
        <v>1373</v>
      </c>
      <c r="CA319" s="4"/>
      <c r="CB319" s="4">
        <v>0</v>
      </c>
      <c r="CC319" s="4">
        <v>0</v>
      </c>
      <c r="CD319" s="4">
        <v>0</v>
      </c>
      <c r="CE319" s="4">
        <v>0</v>
      </c>
      <c r="CF319" s="4">
        <v>1</v>
      </c>
      <c r="CG319" s="4">
        <v>1</v>
      </c>
      <c r="CH319" s="4">
        <v>1</v>
      </c>
      <c r="CI319" s="9">
        <f>+BQ319*(CB319*faktorji!$B$21+'MOL_tabela rezultatov'!CF244*faktorji!$B$23+'MOL_tabela rezultatov'!CH244*faktorji!$B$26)+faktorji!$B$27*CG319</f>
        <v>23148</v>
      </c>
      <c r="CJ319" s="9">
        <f>+(BZ319*CF319*faktorji!$B$18)+(CG319*faktorji!$B$17*('MOL_tabela rezultatov'!BY244+'MOL_tabela rezultatov'!BZ244))+('MOL_tabela rezultatov'!CH244*faktorji!$B$16*'MOL_tabela rezultatov'!BY244)+('MOL_tabela rezultatov'!CB244*faktorji!$B$12*'MOL_tabela rezultatov'!BY244)</f>
        <v>1065.95</v>
      </c>
      <c r="CK319" s="66">
        <f>+CI319/CJ319</f>
        <v>21.715840330221866</v>
      </c>
      <c r="CL319" s="3" t="str">
        <f>CONCATENATE(IF(CB319&gt;0,"kotlovnica/toplotna postaja, ",""),IF(CF319&gt;0,"razsvetljava, ",""),IF(CG319&gt;0,"energetsko upravljanje, ",""),IF(CH319&gt;0,"manjši investicijski in organizacijski ukrepi, ",""))</f>
        <v xml:space="preserve">razsvetljava, energetsko upravljanje, manjši investicijski in organizacijski ukrepi, </v>
      </c>
      <c r="CM319" s="9">
        <f>+CJ319*0.9</f>
        <v>959.35500000000002</v>
      </c>
      <c r="CN319" s="9">
        <f>+CJ319*0.9</f>
        <v>959.35500000000002</v>
      </c>
      <c r="CO319" s="9">
        <f>+CJ319*0.9</f>
        <v>959.35500000000002</v>
      </c>
      <c r="CP319" s="69">
        <f>+IF(CI319-SUM(CM319:CO319)&lt;0,0,CI319-SUM(CM319:CO319))</f>
        <v>20269.935000000001</v>
      </c>
      <c r="CQ319" s="52"/>
      <c r="CR319" s="52"/>
      <c r="CS319" s="52"/>
      <c r="CT319" s="52"/>
      <c r="CU319" s="52"/>
      <c r="CV319" s="52"/>
      <c r="CW319" s="52"/>
      <c r="CX319" s="120"/>
    </row>
    <row r="320" spans="1:102" ht="18" hidden="1" customHeight="1">
      <c r="A320" s="53" t="s">
        <v>587</v>
      </c>
      <c r="B320" s="2" t="s">
        <v>588</v>
      </c>
      <c r="C320" s="57"/>
      <c r="D320" s="57"/>
      <c r="E320" s="51" t="s">
        <v>1175</v>
      </c>
      <c r="F320" s="51"/>
      <c r="G320" s="51">
        <v>3</v>
      </c>
      <c r="H320" s="51"/>
      <c r="I320" s="51"/>
      <c r="J320" s="51">
        <v>7</v>
      </c>
      <c r="K320" s="37" t="s">
        <v>1243</v>
      </c>
      <c r="L320" s="50"/>
      <c r="M320" s="4" t="s">
        <v>7</v>
      </c>
      <c r="N320" s="25"/>
      <c r="O320" s="25"/>
      <c r="P320" s="25">
        <v>466.2</v>
      </c>
      <c r="Q320" s="25"/>
      <c r="R320" s="25"/>
      <c r="S320" s="25"/>
      <c r="T320" s="25">
        <v>102.185</v>
      </c>
      <c r="U320" s="25">
        <v>568.38499999999999</v>
      </c>
      <c r="V320" s="30">
        <v>23.442303280568936</v>
      </c>
      <c r="W320" s="30">
        <v>106.95113558155541</v>
      </c>
      <c r="X320" s="31"/>
      <c r="Y320" s="31"/>
      <c r="Z320" s="31"/>
      <c r="AA320" s="31"/>
      <c r="AB320" s="31"/>
      <c r="AC320" s="31"/>
      <c r="AD320" s="31"/>
      <c r="AE320" s="32"/>
      <c r="AF320" s="16">
        <v>1400</v>
      </c>
      <c r="AG320" s="3">
        <v>1987</v>
      </c>
      <c r="AH320" s="4"/>
      <c r="AI320" s="6">
        <v>4359</v>
      </c>
      <c r="AJ320" s="38">
        <v>100</v>
      </c>
      <c r="AK320" s="3"/>
      <c r="AL320" s="1" t="s">
        <v>589</v>
      </c>
      <c r="AM320" s="37"/>
      <c r="AN320" s="37"/>
      <c r="AO320" s="37"/>
      <c r="AP320" s="37"/>
      <c r="AQ320" s="37"/>
      <c r="AR320" s="37"/>
      <c r="AS320" s="37"/>
      <c r="AT320" s="37"/>
      <c r="AU320" s="37"/>
      <c r="AV320" s="37"/>
      <c r="AW320" s="37"/>
      <c r="AX320" s="37"/>
      <c r="AY320" s="37"/>
      <c r="AZ320" s="37"/>
      <c r="BA320" s="37"/>
      <c r="BB320" s="37"/>
      <c r="BC320" s="37"/>
      <c r="BD320" s="37"/>
      <c r="BE320" s="37"/>
      <c r="BF320" s="37">
        <v>76.41</v>
      </c>
      <c r="BG320" s="42"/>
      <c r="BH320" s="42">
        <v>385.2</v>
      </c>
      <c r="BI320" s="42"/>
      <c r="BJ320" s="42"/>
      <c r="BK320" s="44">
        <v>385.2</v>
      </c>
      <c r="BL320" s="44">
        <v>76.41</v>
      </c>
      <c r="BM320" s="44">
        <f>+BK320+BL320</f>
        <v>461.61</v>
      </c>
      <c r="BN320" s="47">
        <v>85.714285714285708</v>
      </c>
      <c r="BO320" s="47">
        <v>17.002670226969293</v>
      </c>
      <c r="BP320" s="45">
        <v>102.71695594125501</v>
      </c>
      <c r="BQ320" s="9">
        <v>4494</v>
      </c>
      <c r="BR320" s="4" t="s">
        <v>1075</v>
      </c>
      <c r="BS320" s="4">
        <v>2008</v>
      </c>
      <c r="BT320" s="4" t="s">
        <v>872</v>
      </c>
      <c r="BU320" s="4"/>
      <c r="BV320" s="4" t="s">
        <v>1076</v>
      </c>
      <c r="BW320" s="4" t="s">
        <v>1077</v>
      </c>
      <c r="BX320" s="4"/>
      <c r="BY320" s="9">
        <f>+INT(BK320*faktorji!$B$6)</f>
        <v>48150</v>
      </c>
      <c r="BZ320" s="9">
        <f>+INT(BL320*faktorji!$B$4)</f>
        <v>12607</v>
      </c>
      <c r="CA320" s="4"/>
      <c r="CB320" s="4">
        <v>0</v>
      </c>
      <c r="CC320" s="4">
        <v>0</v>
      </c>
      <c r="CD320" s="4">
        <v>0</v>
      </c>
      <c r="CE320" s="4">
        <v>1</v>
      </c>
      <c r="CF320" s="4">
        <v>0</v>
      </c>
      <c r="CG320" s="4">
        <v>1</v>
      </c>
      <c r="CH320" s="4">
        <v>1</v>
      </c>
      <c r="CI320" s="9">
        <f>+BQ320*(CB320*faktorji!$B$21+'MOL_tabela rezultatov'!CF217*faktorji!$B$23+'MOL_tabela rezultatov'!CH217*faktorji!$B$26)+faktorji!$B$27*CG320</f>
        <v>92151</v>
      </c>
      <c r="CJ320" s="9">
        <f>+(BZ320*CF320*faktorji!$B$18)+(CG320*faktorji!$B$17*('MOL_tabela rezultatov'!BY217+'MOL_tabela rezultatov'!BZ217))+('MOL_tabela rezultatov'!CH217*faktorji!$B$16*'MOL_tabela rezultatov'!BY217)+('MOL_tabela rezultatov'!CB217*faktorji!$B$12*'MOL_tabela rezultatov'!BY217)</f>
        <v>611.40000000000009</v>
      </c>
      <c r="CK320" s="66">
        <f>+CI320/CJ320</f>
        <v>150.72129538763491</v>
      </c>
      <c r="CL320" s="3" t="str">
        <f>CONCATENATE(IF(CB320&gt;0,"kotlovnica/toplotna postaja, ",""),IF(CF320&gt;0,"razsvetljava, ",""),IF(CG320&gt;0,"energetsko upravljanje, ",""),IF(CH320&gt;0,"manjši investicijski in organizacijski ukrepi, ",""))</f>
        <v xml:space="preserve">energetsko upravljanje, manjši investicijski in organizacijski ukrepi, </v>
      </c>
      <c r="CM320" s="9">
        <f>+CJ320*0.9</f>
        <v>550.2600000000001</v>
      </c>
      <c r="CN320" s="9">
        <f>+CJ320*0.9</f>
        <v>550.2600000000001</v>
      </c>
      <c r="CO320" s="9">
        <f>+CJ320*0.9</f>
        <v>550.2600000000001</v>
      </c>
      <c r="CP320" s="69">
        <f>+IF(CI320-SUM(CM320:CO320)&lt;0,0,CI320-SUM(CM320:CO320))</f>
        <v>90500.22</v>
      </c>
      <c r="CQ320" s="52"/>
      <c r="CR320" s="52"/>
      <c r="CS320" s="52"/>
      <c r="CT320" s="52"/>
      <c r="CU320" s="52"/>
      <c r="CV320" s="52"/>
      <c r="CW320" s="52"/>
      <c r="CX320" s="120"/>
    </row>
    <row r="321" spans="1:102" ht="18" hidden="1" customHeight="1">
      <c r="A321" s="53" t="s">
        <v>241</v>
      </c>
      <c r="B321" s="2" t="s">
        <v>242</v>
      </c>
      <c r="C321" s="57"/>
      <c r="D321" s="57"/>
      <c r="E321" s="51" t="s">
        <v>1170</v>
      </c>
      <c r="F321" s="51"/>
      <c r="G321" s="51">
        <v>3</v>
      </c>
      <c r="H321" s="51"/>
      <c r="I321" s="51"/>
      <c r="J321" s="51">
        <v>6</v>
      </c>
      <c r="K321" s="37" t="s">
        <v>1244</v>
      </c>
      <c r="L321" s="50"/>
      <c r="M321" s="1" t="s">
        <v>1186</v>
      </c>
      <c r="N321" s="25"/>
      <c r="O321" s="25">
        <v>15.8</v>
      </c>
      <c r="P321" s="25"/>
      <c r="Q321" s="25"/>
      <c r="R321" s="25"/>
      <c r="S321" s="25"/>
      <c r="T321" s="25">
        <v>0.83333333333333337</v>
      </c>
      <c r="U321" s="25">
        <v>16.633333333333333</v>
      </c>
      <c r="V321" s="30">
        <v>11.363636363636365</v>
      </c>
      <c r="W321" s="30">
        <v>215.45454545454547</v>
      </c>
      <c r="X321" s="31"/>
      <c r="Y321" s="31">
        <v>19</v>
      </c>
      <c r="Z321" s="31"/>
      <c r="AA321" s="31"/>
      <c r="AB321" s="31"/>
      <c r="AC321" s="31">
        <v>1.5</v>
      </c>
      <c r="AD321" s="31"/>
      <c r="AE321" s="32">
        <v>259.09090909090912</v>
      </c>
      <c r="AF321" s="1"/>
      <c r="AG321" s="4">
        <v>2002</v>
      </c>
      <c r="AH321" s="4" t="s">
        <v>243</v>
      </c>
      <c r="AI321" s="13">
        <v>73.333333333333329</v>
      </c>
      <c r="AJ321" s="38">
        <v>100</v>
      </c>
      <c r="AK321" s="3"/>
      <c r="AL321" s="1"/>
      <c r="AM321" s="37"/>
      <c r="AN321" s="37"/>
      <c r="AO321" s="37"/>
      <c r="AP321" s="37"/>
      <c r="AQ321" s="37"/>
      <c r="AR321" s="37"/>
      <c r="AS321" s="37"/>
      <c r="AT321" s="37"/>
      <c r="AU321" s="37"/>
      <c r="AV321" s="37"/>
      <c r="AW321" s="37"/>
      <c r="AX321" s="37"/>
      <c r="AY321" s="37"/>
      <c r="AZ321" s="37"/>
      <c r="BA321" s="37"/>
      <c r="BB321" s="37"/>
      <c r="BC321" s="37"/>
      <c r="BD321" s="37"/>
      <c r="BE321" s="37"/>
      <c r="BF321" s="37"/>
      <c r="BG321" s="42"/>
      <c r="BH321" s="42">
        <v>50.21</v>
      </c>
      <c r="BI321" s="42"/>
      <c r="BJ321" s="42"/>
      <c r="BK321" s="44">
        <v>50.21</v>
      </c>
      <c r="BL321" s="44">
        <v>0.83</v>
      </c>
      <c r="BM321" s="44">
        <f>+BK321+BL321</f>
        <v>51.04</v>
      </c>
      <c r="BN321" s="47">
        <v>678.51351351351354</v>
      </c>
      <c r="BO321" s="47">
        <v>11.216216216216216</v>
      </c>
      <c r="BP321" s="45">
        <v>689.72972972972968</v>
      </c>
      <c r="BQ321" s="9">
        <v>74</v>
      </c>
      <c r="BR321" s="4"/>
      <c r="BS321" s="4"/>
      <c r="BT321" s="4"/>
      <c r="BU321" s="4"/>
      <c r="BV321" s="4"/>
      <c r="BW321" s="4"/>
      <c r="BX321" s="4"/>
      <c r="BY321" s="9">
        <f>+INT(BK321*faktorji!$B$4)</f>
        <v>8284</v>
      </c>
      <c r="BZ321" s="9">
        <f>+INT(BL321*faktorji!$B$4)</f>
        <v>136</v>
      </c>
      <c r="CA321" s="4"/>
      <c r="CB321" s="4">
        <v>0</v>
      </c>
      <c r="CC321" s="4">
        <v>0</v>
      </c>
      <c r="CD321" s="4">
        <v>0</v>
      </c>
      <c r="CE321" s="4">
        <v>0</v>
      </c>
      <c r="CF321" s="4">
        <v>1</v>
      </c>
      <c r="CG321" s="4">
        <v>1</v>
      </c>
      <c r="CH321" s="4">
        <v>1</v>
      </c>
      <c r="CI321" s="9">
        <f>+BQ321*(CB321*faktorji!$B$21+'MOL_tabela rezultatov'!CF86*faktorji!$B$23+'MOL_tabela rezultatov'!CH86*faktorji!$B$26)+faktorji!$B$27*CG321</f>
        <v>18111</v>
      </c>
      <c r="CJ321" s="9">
        <f>+(BZ321*CF321*faktorji!$B$18)+(CG321*faktorji!$B$17*('MOL_tabela rezultatov'!BY86+'MOL_tabela rezultatov'!BZ86))+('MOL_tabela rezultatov'!CH86*faktorji!$B$16*'MOL_tabela rezultatov'!BY86)+('MOL_tabela rezultatov'!CB86*faktorji!$B$12*'MOL_tabela rezultatov'!BY86)</f>
        <v>566.79999999999995</v>
      </c>
      <c r="CK321" s="66">
        <f>+CI321/CJ321</f>
        <v>31.953069865913903</v>
      </c>
      <c r="CL321" s="3" t="str">
        <f>CONCATENATE(IF(CB321&gt;0,"kotlovnica/toplotna postaja, ",""),IF(CF321&gt;0,"razsvetljava, ",""),IF(CG321&gt;0,"energetsko upravljanje, ",""),IF(CH321&gt;0,"manjši investicijski in organizacijski ukrepi, ",""))</f>
        <v xml:space="preserve">razsvetljava, energetsko upravljanje, manjši investicijski in organizacijski ukrepi, </v>
      </c>
      <c r="CM321" s="9">
        <f>+CJ321*0.9</f>
        <v>510.11999999999995</v>
      </c>
      <c r="CN321" s="9">
        <f>+CJ321*0.9</f>
        <v>510.11999999999995</v>
      </c>
      <c r="CO321" s="9">
        <f>+CJ321*0.9</f>
        <v>510.11999999999995</v>
      </c>
      <c r="CP321" s="69">
        <f>+IF(CI321-SUM(CM321:CO321)&lt;0,0,CI321-SUM(CM321:CO321))</f>
        <v>16580.64</v>
      </c>
      <c r="CQ321" s="52"/>
      <c r="CR321" s="52"/>
      <c r="CS321" s="52"/>
      <c r="CT321" s="52"/>
      <c r="CU321" s="52"/>
      <c r="CV321" s="52"/>
      <c r="CW321" s="52"/>
      <c r="CX321" s="120"/>
    </row>
    <row r="322" spans="1:102" ht="18" hidden="1" customHeight="1">
      <c r="A322" s="53" t="s">
        <v>844</v>
      </c>
      <c r="B322" s="2" t="s">
        <v>845</v>
      </c>
      <c r="C322" s="57"/>
      <c r="D322" s="57"/>
      <c r="E322" s="51" t="s">
        <v>1176</v>
      </c>
      <c r="F322" s="51"/>
      <c r="G322" s="51">
        <v>3</v>
      </c>
      <c r="H322" s="51"/>
      <c r="I322" s="51"/>
      <c r="J322" s="51">
        <v>7</v>
      </c>
      <c r="K322" s="37" t="s">
        <v>1243</v>
      </c>
      <c r="L322" s="50"/>
      <c r="M322" s="4" t="s">
        <v>5</v>
      </c>
      <c r="N322" s="25"/>
      <c r="O322" s="25"/>
      <c r="P322" s="25"/>
      <c r="Q322" s="25"/>
      <c r="R322" s="25"/>
      <c r="S322" s="25"/>
      <c r="T322" s="25"/>
      <c r="U322" s="25"/>
      <c r="V322" s="30"/>
      <c r="W322" s="30"/>
      <c r="X322" s="31"/>
      <c r="Y322" s="31"/>
      <c r="Z322" s="31"/>
      <c r="AA322" s="31"/>
      <c r="AB322" s="31"/>
      <c r="AC322" s="31"/>
      <c r="AD322" s="31"/>
      <c r="AE322" s="32"/>
      <c r="AF322" s="16"/>
      <c r="AG322" s="3"/>
      <c r="AH322" s="4"/>
      <c r="AI322" s="6"/>
      <c r="AJ322" s="38"/>
      <c r="AK322" s="3"/>
      <c r="AL322" s="1"/>
      <c r="AM322" s="37"/>
      <c r="AN322" s="37"/>
      <c r="AO322" s="37">
        <v>68</v>
      </c>
      <c r="AP322" s="37">
        <v>65</v>
      </c>
      <c r="AQ322" s="37"/>
      <c r="AR322" s="37"/>
      <c r="AS322" s="37"/>
      <c r="AT322" s="37"/>
      <c r="AU322" s="37"/>
      <c r="AV322" s="37"/>
      <c r="AW322" s="37"/>
      <c r="AX322" s="37"/>
      <c r="AY322" s="37"/>
      <c r="AZ322" s="37"/>
      <c r="BA322" s="37"/>
      <c r="BB322" s="37"/>
      <c r="BC322" s="37"/>
      <c r="BD322" s="37"/>
      <c r="BE322" s="37">
        <v>4</v>
      </c>
      <c r="BF322" s="37">
        <v>3.65</v>
      </c>
      <c r="BG322" s="42">
        <v>66.5</v>
      </c>
      <c r="BH322" s="42"/>
      <c r="BI322" s="42"/>
      <c r="BJ322" s="42"/>
      <c r="BK322" s="44">
        <v>66.5</v>
      </c>
      <c r="BL322" s="44">
        <v>3.8250000000000002</v>
      </c>
      <c r="BM322" s="44">
        <f>+BK322+BL322</f>
        <v>70.325000000000003</v>
      </c>
      <c r="BN322" s="47">
        <v>201.5151515151515</v>
      </c>
      <c r="BO322" s="47">
        <v>11.590909090909092</v>
      </c>
      <c r="BP322" s="45">
        <v>213.10606060606059</v>
      </c>
      <c r="BQ322" s="9">
        <v>330</v>
      </c>
      <c r="BR322" s="4">
        <v>52</v>
      </c>
      <c r="BS322" s="4">
        <v>2010</v>
      </c>
      <c r="BT322" s="4" t="s">
        <v>872</v>
      </c>
      <c r="BU322" s="1" t="s">
        <v>933</v>
      </c>
      <c r="BV322" s="4" t="s">
        <v>932</v>
      </c>
      <c r="BW322" s="4" t="s">
        <v>932</v>
      </c>
      <c r="BX322" s="4"/>
      <c r="BY322" s="9">
        <f>+INT(BK322*faktorji!$B$3)</f>
        <v>4322</v>
      </c>
      <c r="BZ322" s="9">
        <f>+INT(BL322*faktorji!$B$4)</f>
        <v>631</v>
      </c>
      <c r="CA322" s="4"/>
      <c r="CB322" s="4">
        <v>0</v>
      </c>
      <c r="CC322" s="4">
        <v>0</v>
      </c>
      <c r="CD322" s="4">
        <v>0</v>
      </c>
      <c r="CE322" s="4">
        <v>0</v>
      </c>
      <c r="CF322" s="4">
        <v>0</v>
      </c>
      <c r="CG322" s="4">
        <v>1</v>
      </c>
      <c r="CH322" s="4">
        <v>1</v>
      </c>
      <c r="CI322" s="9">
        <f>+BQ322*(CB322*faktorji!$B$21+'MOL_tabela rezultatov'!CF269*faktorji!$B$23+'MOL_tabela rezultatov'!CH269*faktorji!$B$26)+faktorji!$B$27*CG322</f>
        <v>18495</v>
      </c>
      <c r="CJ322" s="9">
        <f>+(BZ322*CF322*faktorji!$B$18)+(CG322*faktorji!$B$17*('MOL_tabela rezultatov'!BY269+'MOL_tabela rezultatov'!BZ269))+('MOL_tabela rezultatov'!CH269*faktorji!$B$16*'MOL_tabela rezultatov'!BY269)+('MOL_tabela rezultatov'!CB269*faktorji!$B$12*'MOL_tabela rezultatov'!BY269)</f>
        <v>498.80000000000007</v>
      </c>
      <c r="CK322" s="66">
        <f>+CI322/CJ322</f>
        <v>37.07898957497995</v>
      </c>
      <c r="CL322" s="3" t="str">
        <f>CONCATENATE(IF(CB322&gt;0,"kotlovnica/toplotna postaja, ",""),IF(CF322&gt;0,"razsvetljava, ",""),IF(CG322&gt;0,"energetsko upravljanje, ",""),IF(CH322&gt;0,"manjši investicijski in organizacijski ukrepi, ",""))</f>
        <v xml:space="preserve">energetsko upravljanje, manjši investicijski in organizacijski ukrepi, </v>
      </c>
      <c r="CM322" s="9">
        <f>+CJ322*0.9</f>
        <v>448.92000000000007</v>
      </c>
      <c r="CN322" s="9">
        <f>+CJ322*0.9</f>
        <v>448.92000000000007</v>
      </c>
      <c r="CO322" s="9">
        <f>+CJ322*0.9</f>
        <v>448.92000000000007</v>
      </c>
      <c r="CP322" s="69">
        <f>+IF(CI322-SUM(CM322:CO322)&lt;0,0,CI322-SUM(CM322:CO322))</f>
        <v>17148.239999999998</v>
      </c>
      <c r="CQ322" s="52"/>
      <c r="CR322" s="52"/>
      <c r="CS322" s="52"/>
      <c r="CT322" s="52"/>
      <c r="CU322" s="52"/>
      <c r="CV322" s="52"/>
      <c r="CW322" s="52"/>
      <c r="CX322" s="120"/>
    </row>
    <row r="323" spans="1:102" ht="18" hidden="1" customHeight="1">
      <c r="A323" s="54" t="s">
        <v>139</v>
      </c>
      <c r="B323" s="3" t="s">
        <v>140</v>
      </c>
      <c r="C323" s="56"/>
      <c r="D323" s="56"/>
      <c r="E323" s="51" t="s">
        <v>1169</v>
      </c>
      <c r="F323" s="51"/>
      <c r="G323" s="51">
        <v>4</v>
      </c>
      <c r="H323" s="51"/>
      <c r="I323" s="51"/>
      <c r="J323" s="51">
        <v>7</v>
      </c>
      <c r="K323" s="37" t="s">
        <v>1244</v>
      </c>
      <c r="L323" s="50"/>
      <c r="M323" s="4" t="s">
        <v>6</v>
      </c>
      <c r="N323" s="25"/>
      <c r="O323" s="25">
        <v>22.666013157894735</v>
      </c>
      <c r="P323" s="25"/>
      <c r="Q323" s="25"/>
      <c r="R323" s="25"/>
      <c r="S323" s="25"/>
      <c r="T323" s="25">
        <v>8.938013157894737</v>
      </c>
      <c r="U323" s="25">
        <v>31.604026315789472</v>
      </c>
      <c r="V323" s="30">
        <v>45.835964912280701</v>
      </c>
      <c r="W323" s="30">
        <v>116.23596491228071</v>
      </c>
      <c r="X323" s="31"/>
      <c r="Y323" s="31"/>
      <c r="Z323" s="31"/>
      <c r="AA323" s="31"/>
      <c r="AB323" s="31"/>
      <c r="AC323" s="31"/>
      <c r="AD323" s="31"/>
      <c r="AE323" s="32"/>
      <c r="AF323" s="1" t="s">
        <v>141</v>
      </c>
      <c r="AG323" s="4"/>
      <c r="AH323" s="4"/>
      <c r="AI323" s="6">
        <v>195</v>
      </c>
      <c r="AJ323" s="38"/>
      <c r="AK323" s="34"/>
      <c r="AL323" s="1" t="s">
        <v>142</v>
      </c>
      <c r="AM323" s="37"/>
      <c r="AN323" s="37"/>
      <c r="AO323" s="37"/>
      <c r="AP323" s="37"/>
      <c r="AQ323" s="37"/>
      <c r="AR323" s="37"/>
      <c r="AS323" s="37"/>
      <c r="AT323" s="37"/>
      <c r="AU323" s="37"/>
      <c r="AV323" s="37"/>
      <c r="AW323" s="37"/>
      <c r="AX323" s="37"/>
      <c r="AY323" s="37"/>
      <c r="AZ323" s="37"/>
      <c r="BA323" s="37"/>
      <c r="BB323" s="37"/>
      <c r="BC323" s="37"/>
      <c r="BD323" s="37"/>
      <c r="BE323" s="37"/>
      <c r="BF323" s="37"/>
      <c r="BG323" s="42"/>
      <c r="BH323" s="42">
        <v>20.62</v>
      </c>
      <c r="BI323" s="42"/>
      <c r="BJ323" s="42"/>
      <c r="BK323" s="44">
        <v>20.62</v>
      </c>
      <c r="BL323" s="44">
        <v>17.861999999999998</v>
      </c>
      <c r="BM323" s="44">
        <f>+BK323+BL323</f>
        <v>38.481999999999999</v>
      </c>
      <c r="BN323" s="47">
        <v>105.74358974358974</v>
      </c>
      <c r="BO323" s="47">
        <v>91.6</v>
      </c>
      <c r="BP323" s="45">
        <v>197.34358974358975</v>
      </c>
      <c r="BQ323" s="9">
        <v>195</v>
      </c>
      <c r="BR323" s="4"/>
      <c r="BS323" s="4"/>
      <c r="BT323" s="4" t="s">
        <v>872</v>
      </c>
      <c r="BU323" s="4" t="s">
        <v>136</v>
      </c>
      <c r="BV323" s="4" t="s">
        <v>871</v>
      </c>
      <c r="BW323" s="4"/>
      <c r="BX323" s="4"/>
      <c r="BY323" s="9">
        <f>+INT(BK323*faktorji!$B$5)</f>
        <v>1958</v>
      </c>
      <c r="BZ323" s="9">
        <f>+INT(BL323*faktorji!$B$4)</f>
        <v>2947</v>
      </c>
      <c r="CA323" s="4"/>
      <c r="CB323" s="4">
        <v>0</v>
      </c>
      <c r="CC323" s="4">
        <v>1</v>
      </c>
      <c r="CD323" s="4">
        <v>0</v>
      </c>
      <c r="CE323" s="4">
        <v>0</v>
      </c>
      <c r="CF323" s="4">
        <v>1</v>
      </c>
      <c r="CG323" s="4">
        <v>1</v>
      </c>
      <c r="CH323" s="4">
        <v>1</v>
      </c>
      <c r="CI323" s="9">
        <f>+BQ323*(CB323*faktorji!$B$21+'MOL_tabela rezultatov'!CF48*faktorji!$B$23+'MOL_tabela rezultatov'!CH48*faktorji!$B$26)+faktorji!$B$27*CG323</f>
        <v>21217.5</v>
      </c>
      <c r="CJ323" s="9">
        <f>+(BZ323*CF323*faktorji!$B$18)+(CG323*faktorji!$B$17*('MOL_tabela rezultatov'!BY48+'MOL_tabela rezultatov'!BZ48))+('MOL_tabela rezultatov'!CH48*faktorji!$B$16*'MOL_tabela rezultatov'!BY48)+('MOL_tabela rezultatov'!CB48*faktorji!$B$12*'MOL_tabela rezultatov'!BY48)</f>
        <v>1581.65</v>
      </c>
      <c r="CK323" s="66">
        <f>+CI323/CJ323</f>
        <v>13.414788353934181</v>
      </c>
      <c r="CL323" s="3" t="str">
        <f>CONCATENATE(IF(CB323&gt;0,"kotlovnica/toplotna postaja, ",""),IF(CF323&gt;0,"razsvetljava, ",""),IF(CG323&gt;0,"energetsko upravljanje, ",""),IF(CH323&gt;0,"manjši investicijski in organizacijski ukrepi, ",""))</f>
        <v xml:space="preserve">razsvetljava, energetsko upravljanje, manjši investicijski in organizacijski ukrepi, </v>
      </c>
      <c r="CM323" s="9">
        <f>+CJ323*0.9</f>
        <v>1423.4850000000001</v>
      </c>
      <c r="CN323" s="9">
        <f>+CJ323*0.9</f>
        <v>1423.4850000000001</v>
      </c>
      <c r="CO323" s="9">
        <f>+CJ323*0.9</f>
        <v>1423.4850000000001</v>
      </c>
      <c r="CP323" s="69">
        <f>+IF(CI323-SUM(CM323:CO323)&lt;0,0,CI323-SUM(CM323:CO323))</f>
        <v>16947.044999999998</v>
      </c>
      <c r="CQ323" s="52"/>
      <c r="CR323" s="52"/>
      <c r="CS323" s="52"/>
      <c r="CT323" s="52"/>
      <c r="CU323" s="52"/>
      <c r="CV323" s="52"/>
      <c r="CW323" s="52"/>
      <c r="CX323" s="120"/>
    </row>
    <row r="324" spans="1:102" ht="18" hidden="1" customHeight="1">
      <c r="A324" s="54" t="s">
        <v>170</v>
      </c>
      <c r="B324" s="127" t="s">
        <v>135</v>
      </c>
      <c r="C324" s="56"/>
      <c r="D324" s="56"/>
      <c r="E324" s="51" t="s">
        <v>1170</v>
      </c>
      <c r="F324" s="51"/>
      <c r="G324" s="51">
        <v>3</v>
      </c>
      <c r="H324" s="51"/>
      <c r="I324" s="51"/>
      <c r="J324" s="51">
        <v>6</v>
      </c>
      <c r="K324" s="37" t="s">
        <v>1244</v>
      </c>
      <c r="L324" s="50"/>
      <c r="M324" s="4" t="s">
        <v>5</v>
      </c>
      <c r="N324" s="25">
        <v>219.80768508213876</v>
      </c>
      <c r="O324" s="25"/>
      <c r="P324" s="25"/>
      <c r="Q324" s="25"/>
      <c r="R324" s="25"/>
      <c r="S324" s="25"/>
      <c r="T324" s="25">
        <v>93.559463476977143</v>
      </c>
      <c r="U324" s="25">
        <v>313.36714855911589</v>
      </c>
      <c r="V324" s="30">
        <v>64.881736114408568</v>
      </c>
      <c r="W324" s="30">
        <v>152.43251392658721</v>
      </c>
      <c r="X324" s="31"/>
      <c r="Y324" s="31"/>
      <c r="Z324" s="31"/>
      <c r="AA324" s="31"/>
      <c r="AB324" s="31"/>
      <c r="AC324" s="31"/>
      <c r="AD324" s="31"/>
      <c r="AE324" s="32"/>
      <c r="AF324" s="1"/>
      <c r="AG324" s="4"/>
      <c r="AH324" s="4"/>
      <c r="AI324" s="6">
        <v>1442</v>
      </c>
      <c r="AJ324" s="38"/>
      <c r="AK324" s="3"/>
      <c r="AL324" s="1"/>
      <c r="AM324" s="37"/>
      <c r="AN324" s="37"/>
      <c r="AO324" s="37"/>
      <c r="AP324" s="37"/>
      <c r="AQ324" s="37"/>
      <c r="AR324" s="37"/>
      <c r="AS324" s="37"/>
      <c r="AT324" s="37"/>
      <c r="AU324" s="37"/>
      <c r="AV324" s="37"/>
      <c r="AW324" s="37"/>
      <c r="AX324" s="37"/>
      <c r="AY324" s="37"/>
      <c r="AZ324" s="37"/>
      <c r="BA324" s="37"/>
      <c r="BB324" s="37"/>
      <c r="BC324" s="37"/>
      <c r="BD324" s="37"/>
      <c r="BE324" s="37"/>
      <c r="BF324" s="37"/>
      <c r="BG324" s="42">
        <v>208.1</v>
      </c>
      <c r="BH324" s="42"/>
      <c r="BI324" s="42"/>
      <c r="BJ324" s="42"/>
      <c r="BK324" s="44">
        <v>208.1</v>
      </c>
      <c r="BL324" s="44">
        <v>104.11240000000001</v>
      </c>
      <c r="BM324" s="44">
        <f>+BK324+BL324</f>
        <v>312.2124</v>
      </c>
      <c r="BN324" s="47">
        <v>144.31345353675451</v>
      </c>
      <c r="BO324" s="47">
        <v>72.2</v>
      </c>
      <c r="BP324" s="45">
        <v>216.51345353675453</v>
      </c>
      <c r="BQ324" s="9">
        <v>1442</v>
      </c>
      <c r="BR324" s="4"/>
      <c r="BS324" s="4"/>
      <c r="BT324" s="4"/>
      <c r="BU324" s="4"/>
      <c r="BV324" s="4"/>
      <c r="BW324" s="4"/>
      <c r="BX324" s="4"/>
      <c r="BY324" s="9">
        <f>+INT(BK324*faktorji!$B$3)</f>
        <v>13526</v>
      </c>
      <c r="BZ324" s="9">
        <f>+INT(BL324*faktorji!$B$4)</f>
        <v>17178</v>
      </c>
      <c r="CA324" s="4"/>
      <c r="CB324" s="4">
        <v>0</v>
      </c>
      <c r="CC324" s="4">
        <v>0</v>
      </c>
      <c r="CD324" s="4">
        <v>0</v>
      </c>
      <c r="CE324" s="4">
        <v>0</v>
      </c>
      <c r="CF324" s="4">
        <v>1</v>
      </c>
      <c r="CG324" s="4">
        <v>1</v>
      </c>
      <c r="CH324" s="4">
        <v>1</v>
      </c>
      <c r="CI324" s="9">
        <f>+BQ324*(CB324*faktorji!$B$21+'MOL_tabela rezultatov'!CF62*faktorji!$B$23+'MOL_tabela rezultatov'!CH62*faktorji!$B$26)+faktorji!$B$27*CG324</f>
        <v>41793</v>
      </c>
      <c r="CJ324" s="9">
        <f>+(BZ324*CF324*faktorji!$B$18)+(CG324*faktorji!$B$17*('MOL_tabela rezultatov'!BY62+'MOL_tabela rezultatov'!BZ62))+('MOL_tabela rezultatov'!CH62*faktorji!$B$16*'MOL_tabela rezultatov'!BY62)+('MOL_tabela rezultatov'!CB62*faktorji!$B$12*'MOL_tabela rezultatov'!BY62)</f>
        <v>6085.9</v>
      </c>
      <c r="CK324" s="66">
        <f>+CI324/CJ324</f>
        <v>6.8671848042195895</v>
      </c>
      <c r="CL324" s="3" t="str">
        <f>CONCATENATE(IF(CB324&gt;0,"kotlovnica/toplotna postaja, ",""),IF(CF324&gt;0,"razsvetljava, ",""),IF(CG324&gt;0,"energetsko upravljanje, ",""),IF(CH324&gt;0,"manjši investicijski in organizacijski ukrepi, ",""))</f>
        <v xml:space="preserve">razsvetljava, energetsko upravljanje, manjši investicijski in organizacijski ukrepi, </v>
      </c>
      <c r="CM324" s="9">
        <f>+CJ324*0.9</f>
        <v>5477.3099999999995</v>
      </c>
      <c r="CN324" s="9">
        <f>+CJ324*0.9</f>
        <v>5477.3099999999995</v>
      </c>
      <c r="CO324" s="9">
        <f>+CJ324*0.9</f>
        <v>5477.3099999999995</v>
      </c>
      <c r="CP324" s="69">
        <f>+IF(CI324-SUM(CM324:CO324)&lt;0,0,CI324-SUM(CM324:CO324))</f>
        <v>25361.07</v>
      </c>
      <c r="CQ324" s="52"/>
      <c r="CR324" s="52"/>
      <c r="CS324" s="52"/>
      <c r="CT324" s="52"/>
      <c r="CU324" s="52"/>
      <c r="CV324" s="52"/>
      <c r="CW324" s="52"/>
      <c r="CX324" s="120"/>
    </row>
    <row r="325" spans="1:102" ht="18" hidden="1" customHeight="1">
      <c r="A325" s="54" t="s">
        <v>134</v>
      </c>
      <c r="B325" s="3" t="s">
        <v>135</v>
      </c>
      <c r="C325" s="56"/>
      <c r="D325" s="56"/>
      <c r="E325" s="51" t="s">
        <v>1169</v>
      </c>
      <c r="F325" s="51"/>
      <c r="G325" s="51">
        <v>4</v>
      </c>
      <c r="H325" s="51"/>
      <c r="I325" s="51"/>
      <c r="J325" s="51">
        <v>6</v>
      </c>
      <c r="K325" s="37" t="s">
        <v>1241</v>
      </c>
      <c r="L325" s="50"/>
      <c r="M325" s="4" t="s">
        <v>5</v>
      </c>
      <c r="N325" s="25">
        <v>55.90949912280702</v>
      </c>
      <c r="O325" s="25"/>
      <c r="P325" s="25"/>
      <c r="Q325" s="25"/>
      <c r="R325" s="25"/>
      <c r="S325" s="25"/>
      <c r="T325" s="25">
        <v>22.047099122807015</v>
      </c>
      <c r="U325" s="25">
        <v>77.956598245614032</v>
      </c>
      <c r="V325" s="30">
        <v>45.835964912280694</v>
      </c>
      <c r="W325" s="30">
        <v>116.23596491228071</v>
      </c>
      <c r="X325" s="31"/>
      <c r="Y325" s="31"/>
      <c r="Z325" s="31"/>
      <c r="AA325" s="31"/>
      <c r="AB325" s="31"/>
      <c r="AC325" s="31"/>
      <c r="AD325" s="31"/>
      <c r="AE325" s="32"/>
      <c r="AF325" s="1"/>
      <c r="AG325" s="4"/>
      <c r="AH325" s="4"/>
      <c r="AI325" s="6">
        <v>481</v>
      </c>
      <c r="AJ325" s="38"/>
      <c r="AK325" s="34"/>
      <c r="AL325" s="1" t="s">
        <v>120</v>
      </c>
      <c r="AM325" s="37"/>
      <c r="AN325" s="37"/>
      <c r="AO325" s="37"/>
      <c r="AP325" s="37"/>
      <c r="AQ325" s="37"/>
      <c r="AR325" s="37"/>
      <c r="AS325" s="37"/>
      <c r="AT325" s="37"/>
      <c r="AU325" s="37"/>
      <c r="AV325" s="37"/>
      <c r="AW325" s="37"/>
      <c r="AX325" s="37"/>
      <c r="AY325" s="37"/>
      <c r="AZ325" s="37"/>
      <c r="BA325" s="37"/>
      <c r="BB325" s="37"/>
      <c r="BC325" s="37"/>
      <c r="BD325" s="37"/>
      <c r="BE325" s="37"/>
      <c r="BF325" s="37"/>
      <c r="BG325" s="42"/>
      <c r="BH325" s="42">
        <v>57.623799999999996</v>
      </c>
      <c r="BI325" s="42"/>
      <c r="BJ325" s="42"/>
      <c r="BK325" s="44">
        <v>57.623799999999996</v>
      </c>
      <c r="BL325" s="44">
        <v>44.059599999999996</v>
      </c>
      <c r="BM325" s="44">
        <f>+BK325+BL325</f>
        <v>101.68339999999999</v>
      </c>
      <c r="BN325" s="47">
        <v>119.8</v>
      </c>
      <c r="BO325" s="47">
        <v>91.6</v>
      </c>
      <c r="BP325" s="45">
        <v>211.39999999999998</v>
      </c>
      <c r="BQ325" s="9">
        <v>481</v>
      </c>
      <c r="BR325" s="4"/>
      <c r="BS325" s="4"/>
      <c r="BT325" s="4"/>
      <c r="BU325" s="4" t="s">
        <v>136</v>
      </c>
      <c r="BV325" s="4"/>
      <c r="BW325" s="4"/>
      <c r="BX325" s="4"/>
      <c r="BY325" s="9">
        <f>+INT(BK325*faktorji!$B$3)</f>
        <v>3745</v>
      </c>
      <c r="BZ325" s="9">
        <f>+INT(BL325*faktorji!$B$4)</f>
        <v>7269</v>
      </c>
      <c r="CA325" s="4"/>
      <c r="CB325" s="4">
        <v>0</v>
      </c>
      <c r="CC325" s="4">
        <v>0</v>
      </c>
      <c r="CD325" s="4">
        <v>0</v>
      </c>
      <c r="CE325" s="4">
        <v>0</v>
      </c>
      <c r="CF325" s="4">
        <v>1</v>
      </c>
      <c r="CG325" s="4">
        <v>1</v>
      </c>
      <c r="CH325" s="4">
        <v>1</v>
      </c>
      <c r="CI325" s="9">
        <f>+BQ325*(CB325*faktorji!$B$21+'MOL_tabela rezultatov'!CF46*faktorji!$B$23+'MOL_tabela rezultatov'!CH46*faktorji!$B$26)+faktorji!$B$27*CG325</f>
        <v>25936.5</v>
      </c>
      <c r="CJ325" s="9">
        <f>+(BZ325*CF325*faktorji!$B$18)+(CG325*faktorji!$B$17*('MOL_tabela rezultatov'!BY46+'MOL_tabela rezultatov'!BZ46))+('MOL_tabela rezultatov'!CH46*faktorji!$B$16*'MOL_tabela rezultatov'!BY46)+('MOL_tabela rezultatov'!CB46*faktorji!$B$12*'MOL_tabela rezultatov'!BY46)</f>
        <v>2562.65</v>
      </c>
      <c r="CK325" s="66">
        <f>+CI325/CJ325</f>
        <v>10.120968528671492</v>
      </c>
      <c r="CL325" s="3" t="str">
        <f>CONCATENATE(IF(CB325&gt;0,"kotlovnica/toplotna postaja, ",""),IF(CF325&gt;0,"razsvetljava, ",""),IF(CG325&gt;0,"energetsko upravljanje, ",""),IF(CH325&gt;0,"manjši investicijski in organizacijski ukrepi, ",""))</f>
        <v xml:space="preserve">razsvetljava, energetsko upravljanje, manjši investicijski in organizacijski ukrepi, </v>
      </c>
      <c r="CM325" s="9">
        <f>+CJ325*0.9</f>
        <v>2306.3850000000002</v>
      </c>
      <c r="CN325" s="9">
        <f>+CJ325*0.9</f>
        <v>2306.3850000000002</v>
      </c>
      <c r="CO325" s="9">
        <f>+CJ325*0.9</f>
        <v>2306.3850000000002</v>
      </c>
      <c r="CP325" s="69">
        <f>+IF(CI325-SUM(CM325:CO325)&lt;0,0,CI325-SUM(CM325:CO325))</f>
        <v>19017.345000000001</v>
      </c>
      <c r="CQ325" s="52"/>
      <c r="CR325" s="52"/>
      <c r="CS325" s="52"/>
      <c r="CT325" s="52"/>
      <c r="CU325" s="52"/>
      <c r="CV325" s="52"/>
      <c r="CW325" s="52"/>
      <c r="CX325" s="120"/>
    </row>
    <row r="326" spans="1:102" ht="18" hidden="1" customHeight="1">
      <c r="A326" s="145" t="s">
        <v>1438</v>
      </c>
      <c r="B326" s="128" t="s">
        <v>135</v>
      </c>
      <c r="C326" s="52"/>
      <c r="D326" s="52"/>
      <c r="E326" s="51" t="s">
        <v>1169</v>
      </c>
      <c r="F326" s="51"/>
      <c r="G326" s="51"/>
      <c r="H326" s="51"/>
      <c r="I326" s="51"/>
      <c r="J326" s="51"/>
      <c r="K326" s="37"/>
      <c r="L326" s="50"/>
      <c r="M326" s="4"/>
      <c r="N326" s="25"/>
      <c r="O326" s="25"/>
      <c r="P326" s="25"/>
      <c r="Q326" s="25"/>
      <c r="R326" s="25"/>
      <c r="S326" s="25"/>
      <c r="T326" s="25"/>
      <c r="U326" s="25"/>
      <c r="V326" s="30"/>
      <c r="W326" s="30"/>
      <c r="X326" s="31"/>
      <c r="Y326" s="31"/>
      <c r="Z326" s="31"/>
      <c r="AA326" s="31"/>
      <c r="AB326" s="31"/>
      <c r="AC326" s="31"/>
      <c r="AD326" s="31"/>
      <c r="AE326" s="32"/>
      <c r="AF326" s="1"/>
      <c r="AG326" s="4"/>
      <c r="AH326" s="4"/>
      <c r="AI326" s="6"/>
      <c r="AJ326" s="38"/>
      <c r="AK326" s="3"/>
      <c r="AL326" s="1"/>
      <c r="AM326" s="37"/>
      <c r="AN326" s="37"/>
      <c r="AO326" s="37"/>
      <c r="AP326" s="37"/>
      <c r="AQ326" s="37"/>
      <c r="AR326" s="37"/>
      <c r="AS326" s="37"/>
      <c r="AT326" s="37"/>
      <c r="AU326" s="37"/>
      <c r="AV326" s="37"/>
      <c r="AW326" s="37"/>
      <c r="AX326" s="37"/>
      <c r="AY326" s="37"/>
      <c r="AZ326" s="37"/>
      <c r="BA326" s="37"/>
      <c r="BB326" s="37"/>
      <c r="BC326" s="37"/>
      <c r="BD326" s="37"/>
      <c r="BE326" s="37"/>
      <c r="BF326" s="37"/>
      <c r="BG326" s="42"/>
      <c r="BH326" s="42"/>
      <c r="BI326" s="42"/>
      <c r="BJ326" s="42"/>
      <c r="BK326" s="44"/>
      <c r="BL326" s="44"/>
      <c r="BM326" s="44"/>
      <c r="BN326" s="47"/>
      <c r="BO326" s="47"/>
      <c r="BP326" s="45"/>
      <c r="BQ326" s="6"/>
      <c r="BR326" s="4"/>
      <c r="BS326" s="4"/>
      <c r="BT326" s="4"/>
      <c r="BU326" s="4"/>
      <c r="BV326" s="4"/>
      <c r="BW326" s="4"/>
      <c r="BX326" s="4"/>
      <c r="BY326" s="9"/>
      <c r="BZ326" s="9"/>
      <c r="CA326" s="4"/>
      <c r="CB326" s="4"/>
      <c r="CC326" s="4"/>
      <c r="CD326" s="4"/>
      <c r="CE326" s="4"/>
      <c r="CF326" s="4"/>
      <c r="CG326" s="4"/>
      <c r="CH326" s="4"/>
      <c r="CI326" s="9"/>
      <c r="CJ326" s="9"/>
      <c r="CK326" s="66"/>
      <c r="CL326" s="3"/>
      <c r="CM326" s="9"/>
      <c r="CN326" s="9"/>
      <c r="CO326" s="9"/>
      <c r="CP326" s="69"/>
      <c r="CQ326" s="52"/>
      <c r="CR326" s="52"/>
      <c r="CS326" s="52"/>
      <c r="CT326" s="52"/>
      <c r="CU326" s="52"/>
      <c r="CV326" s="52"/>
      <c r="CW326" s="52"/>
      <c r="CX326" s="120"/>
    </row>
    <row r="327" spans="1:102" ht="18" customHeight="1">
      <c r="A327" s="117" t="s">
        <v>1396</v>
      </c>
      <c r="B327" s="147" t="s">
        <v>103</v>
      </c>
      <c r="C327" s="56" t="s">
        <v>1373</v>
      </c>
      <c r="D327" s="56" t="s">
        <v>1374</v>
      </c>
      <c r="E327" s="51" t="s">
        <v>1167</v>
      </c>
      <c r="F327" s="51"/>
      <c r="G327" s="51">
        <v>2</v>
      </c>
      <c r="H327" s="51" t="s">
        <v>1255</v>
      </c>
      <c r="I327" s="51"/>
      <c r="J327" s="51">
        <v>4</v>
      </c>
      <c r="K327" s="37" t="s">
        <v>1243</v>
      </c>
      <c r="L327" s="50"/>
      <c r="M327" s="110" t="s">
        <v>5</v>
      </c>
      <c r="N327" s="25">
        <v>586.6</v>
      </c>
      <c r="O327" s="25"/>
      <c r="P327" s="25"/>
      <c r="Q327" s="25"/>
      <c r="R327" s="25"/>
      <c r="S327" s="25"/>
      <c r="T327" s="25">
        <v>197.55</v>
      </c>
      <c r="U327" s="25">
        <v>784.15000000000009</v>
      </c>
      <c r="V327" s="30">
        <v>59.50301204819278</v>
      </c>
      <c r="W327" s="30">
        <v>176.68674698795181</v>
      </c>
      <c r="X327" s="31">
        <v>551.1</v>
      </c>
      <c r="Y327" s="31"/>
      <c r="Z327" s="31"/>
      <c r="AA327" s="31"/>
      <c r="AB327" s="31"/>
      <c r="AC327" s="31">
        <v>171.79</v>
      </c>
      <c r="AD327" s="31"/>
      <c r="AE327" s="32">
        <v>165.99397590361446</v>
      </c>
      <c r="AF327" s="1">
        <v>607.5</v>
      </c>
      <c r="AG327" s="4"/>
      <c r="AH327" s="4" t="s">
        <v>91</v>
      </c>
      <c r="AI327" s="6">
        <v>3320</v>
      </c>
      <c r="AJ327" s="38">
        <v>100</v>
      </c>
      <c r="AK327" s="34" t="s">
        <v>92</v>
      </c>
      <c r="AL327" s="1" t="s">
        <v>95</v>
      </c>
      <c r="AM327" s="37">
        <v>595</v>
      </c>
      <c r="AN327" s="37">
        <v>462</v>
      </c>
      <c r="AO327" s="37">
        <v>573</v>
      </c>
      <c r="AP327" s="37">
        <v>615</v>
      </c>
      <c r="AQ327" s="37"/>
      <c r="AR327" s="37"/>
      <c r="AS327" s="37"/>
      <c r="AT327" s="37"/>
      <c r="AU327" s="37"/>
      <c r="AV327" s="37"/>
      <c r="AW327" s="37"/>
      <c r="AX327" s="37"/>
      <c r="AY327" s="37"/>
      <c r="AZ327" s="37"/>
      <c r="BA327" s="37"/>
      <c r="BB327" s="37"/>
      <c r="BC327" s="37">
        <v>191</v>
      </c>
      <c r="BD327" s="37">
        <v>195</v>
      </c>
      <c r="BE327" s="37">
        <v>188.5</v>
      </c>
      <c r="BF327" s="37">
        <v>204.1</v>
      </c>
      <c r="BG327" s="42">
        <v>561.25</v>
      </c>
      <c r="BH327" s="42"/>
      <c r="BI327" s="42"/>
      <c r="BJ327" s="42"/>
      <c r="BK327" s="107">
        <v>595.4</v>
      </c>
      <c r="BL327" s="107">
        <v>191.3</v>
      </c>
      <c r="BM327" s="107">
        <f>+BK327+BL327</f>
        <v>786.7</v>
      </c>
      <c r="BN327" s="108">
        <f>+BK327/BQ327*1000</f>
        <v>180.36958497425022</v>
      </c>
      <c r="BO327" s="108">
        <f>+BL327*1000/BQ327</f>
        <v>57.952135716449561</v>
      </c>
      <c r="BP327" s="109">
        <f>+BO327+BN327</f>
        <v>238.32172069069978</v>
      </c>
      <c r="BQ327" s="106">
        <v>3301</v>
      </c>
      <c r="BR327" s="110">
        <v>607</v>
      </c>
      <c r="BS327" s="110">
        <v>1982</v>
      </c>
      <c r="BT327" s="110" t="s">
        <v>1091</v>
      </c>
      <c r="BU327" s="1" t="s">
        <v>1092</v>
      </c>
      <c r="BV327" s="4" t="s">
        <v>1093</v>
      </c>
      <c r="BW327" s="4"/>
      <c r="BX327" s="4"/>
      <c r="BY327" s="106">
        <v>32222</v>
      </c>
      <c r="BZ327" s="106">
        <v>33437</v>
      </c>
      <c r="CA327" s="111" t="s">
        <v>1407</v>
      </c>
      <c r="CB327" s="4">
        <v>1</v>
      </c>
      <c r="CC327" s="4">
        <v>1</v>
      </c>
      <c r="CD327" s="4">
        <v>0</v>
      </c>
      <c r="CE327" s="4">
        <v>1</v>
      </c>
      <c r="CF327" s="4">
        <v>1</v>
      </c>
      <c r="CG327" s="4">
        <v>1</v>
      </c>
      <c r="CH327" s="4">
        <v>1</v>
      </c>
      <c r="CI327" s="106">
        <v>125000</v>
      </c>
      <c r="CJ327" s="106">
        <v>11400</v>
      </c>
      <c r="CK327" s="66">
        <f>+CI327/CJ327</f>
        <v>10.964912280701755</v>
      </c>
      <c r="CL327" s="3" t="str">
        <f>CONCATENATE(IF(CB327&gt;0,"kotlovnica/toplotna postaja, ",""),IF(CF327&gt;0,"razsvetljava, ",""),IF(CG327&gt;0,"energetsko upravljanje, ",""),IF(CH327&gt;0,"manjši investicijski in organizacijski ukrepi, ",""))</f>
        <v xml:space="preserve">kotlovnica/toplotna postaja, razsvetljava, energetsko upravljanje, manjši investicijski in organizacijski ukrepi, </v>
      </c>
      <c r="CM327" s="9">
        <f>+CJ327*0.9</f>
        <v>10260</v>
      </c>
      <c r="CN327" s="9">
        <f>+CJ327*0.9</f>
        <v>10260</v>
      </c>
      <c r="CO327" s="9">
        <f>+CJ327*0.9</f>
        <v>10260</v>
      </c>
      <c r="CP327" s="69">
        <f>+IF(CI327-SUM(CM327:CO327)&lt;0,0,CI327-SUM(CM327:CO327))</f>
        <v>94220</v>
      </c>
      <c r="CQ327" s="52"/>
      <c r="CR327" s="52"/>
      <c r="CS327" s="52"/>
      <c r="CT327" s="52"/>
      <c r="CU327" s="52"/>
      <c r="CV327" s="52"/>
      <c r="CW327" s="52"/>
      <c r="CX327" s="120"/>
    </row>
    <row r="328" spans="1:102" ht="18" customHeight="1">
      <c r="A328" s="117" t="s">
        <v>109</v>
      </c>
      <c r="B328" s="147" t="s">
        <v>110</v>
      </c>
      <c r="C328" s="56" t="s">
        <v>1379</v>
      </c>
      <c r="D328" s="56" t="s">
        <v>1380</v>
      </c>
      <c r="E328" s="51" t="s">
        <v>1167</v>
      </c>
      <c r="F328" s="51"/>
      <c r="G328" s="51">
        <v>2</v>
      </c>
      <c r="H328" s="51" t="s">
        <v>1255</v>
      </c>
      <c r="I328" s="51"/>
      <c r="J328" s="51">
        <v>4</v>
      </c>
      <c r="K328" s="37" t="s">
        <v>1243</v>
      </c>
      <c r="L328" s="50"/>
      <c r="M328" s="110" t="s">
        <v>6</v>
      </c>
      <c r="N328" s="25"/>
      <c r="O328" s="25">
        <v>857</v>
      </c>
      <c r="P328" s="25"/>
      <c r="Q328" s="25"/>
      <c r="R328" s="25"/>
      <c r="S328" s="25"/>
      <c r="T328" s="25">
        <v>264.61</v>
      </c>
      <c r="U328" s="25">
        <v>1121.6100000000001</v>
      </c>
      <c r="V328" s="30">
        <v>63.03239637922821</v>
      </c>
      <c r="W328" s="30">
        <v>204.14483087184374</v>
      </c>
      <c r="X328" s="31"/>
      <c r="Y328" s="31"/>
      <c r="Z328" s="31"/>
      <c r="AA328" s="31"/>
      <c r="AB328" s="31"/>
      <c r="AC328" s="31">
        <v>259.24</v>
      </c>
      <c r="AD328" s="31"/>
      <c r="AE328" s="32">
        <v>0</v>
      </c>
      <c r="AF328" s="1" t="s">
        <v>1230</v>
      </c>
      <c r="AG328" s="4">
        <v>1999</v>
      </c>
      <c r="AH328" s="4" t="s">
        <v>111</v>
      </c>
      <c r="AI328" s="6">
        <v>4198</v>
      </c>
      <c r="AJ328" s="38">
        <v>93</v>
      </c>
      <c r="AK328" s="3"/>
      <c r="AL328" s="1" t="s">
        <v>95</v>
      </c>
      <c r="AM328" s="37"/>
      <c r="AN328" s="37"/>
      <c r="AO328" s="37"/>
      <c r="AP328" s="37"/>
      <c r="AQ328" s="37">
        <f>(97878*9.5)/1000</f>
        <v>929.84100000000001</v>
      </c>
      <c r="AR328" s="37">
        <f>(98918*9.5)/1000</f>
        <v>939.721</v>
      </c>
      <c r="AS328" s="37">
        <f>(101419*9.5)/1000</f>
        <v>963.48050000000001</v>
      </c>
      <c r="AT328" s="37">
        <f>(96340*9.5)/1000</f>
        <v>915.23</v>
      </c>
      <c r="AU328" s="37"/>
      <c r="AV328" s="37"/>
      <c r="AW328" s="37"/>
      <c r="AX328" s="37"/>
      <c r="AY328" s="37"/>
      <c r="AZ328" s="37"/>
      <c r="BA328" s="37"/>
      <c r="BB328" s="37"/>
      <c r="BC328" s="37">
        <v>276.5</v>
      </c>
      <c r="BD328" s="37">
        <v>281.99</v>
      </c>
      <c r="BE328" s="37">
        <v>282.7</v>
      </c>
      <c r="BF328" s="37">
        <v>279.7</v>
      </c>
      <c r="BG328" s="42"/>
      <c r="BH328" s="42">
        <v>937.06812500000001</v>
      </c>
      <c r="BI328" s="42"/>
      <c r="BJ328" s="42"/>
      <c r="BK328" s="107">
        <v>334.8</v>
      </c>
      <c r="BL328" s="107">
        <v>104.5</v>
      </c>
      <c r="BM328" s="107">
        <f>+BK328+BL328</f>
        <v>439.3</v>
      </c>
      <c r="BN328" s="108">
        <f>+BK328/BQ328*1000</f>
        <v>215.44401544401546</v>
      </c>
      <c r="BO328" s="108">
        <f>+BL328*1000/BQ328</f>
        <v>67.24581724581725</v>
      </c>
      <c r="BP328" s="109">
        <f>+BO328+BN328</f>
        <v>282.68983268983271</v>
      </c>
      <c r="BQ328" s="106">
        <v>1554</v>
      </c>
      <c r="BR328" s="110" t="s">
        <v>1079</v>
      </c>
      <c r="BS328" s="110">
        <v>1992</v>
      </c>
      <c r="BT328" s="112" t="s">
        <v>1083</v>
      </c>
      <c r="BU328" s="4" t="s">
        <v>1097</v>
      </c>
      <c r="BV328" s="4" t="s">
        <v>871</v>
      </c>
      <c r="BW328" s="4" t="s">
        <v>1081</v>
      </c>
      <c r="BX328" s="4"/>
      <c r="BY328" s="106">
        <v>24675</v>
      </c>
      <c r="BZ328" s="106">
        <v>18012</v>
      </c>
      <c r="CA328" s="111" t="s">
        <v>1409</v>
      </c>
      <c r="CB328" s="4">
        <v>1</v>
      </c>
      <c r="CC328" s="4">
        <v>1</v>
      </c>
      <c r="CD328" s="4">
        <v>0</v>
      </c>
      <c r="CE328" s="4">
        <v>1</v>
      </c>
      <c r="CF328" s="4">
        <v>1</v>
      </c>
      <c r="CG328" s="4">
        <v>1</v>
      </c>
      <c r="CH328" s="4">
        <v>1</v>
      </c>
      <c r="CI328" s="106">
        <v>73500</v>
      </c>
      <c r="CJ328" s="106">
        <v>15050</v>
      </c>
      <c r="CK328" s="66">
        <f>+CI328/CJ328</f>
        <v>4.8837209302325579</v>
      </c>
      <c r="CL328" s="3" t="str">
        <f>CONCATENATE(IF(CB328&gt;0,"kotlovnica/toplotna postaja, ",""),IF(CF328&gt;0,"razsvetljava, ",""),IF(CG328&gt;0,"energetsko upravljanje, ",""),IF(CH328&gt;0,"manjši investicijski in organizacijski ukrepi, ",""))</f>
        <v xml:space="preserve">kotlovnica/toplotna postaja, razsvetljava, energetsko upravljanje, manjši investicijski in organizacijski ukrepi, </v>
      </c>
      <c r="CM328" s="9">
        <f>+CJ328*0.9</f>
        <v>13545</v>
      </c>
      <c r="CN328" s="9">
        <f>+CJ328*0.9</f>
        <v>13545</v>
      </c>
      <c r="CO328" s="9">
        <f>+CJ328*0.9</f>
        <v>13545</v>
      </c>
      <c r="CP328" s="69">
        <f>+IF(CI328-SUM(CM328:CO328)&lt;0,0,CI328-SUM(CM328:CO328))</f>
        <v>32865</v>
      </c>
      <c r="CQ328" s="52"/>
      <c r="CR328" s="52"/>
      <c r="CS328" s="52"/>
      <c r="CT328" s="52"/>
      <c r="CU328" s="52"/>
      <c r="CV328" s="52"/>
      <c r="CW328" s="52"/>
      <c r="CX328" s="120"/>
    </row>
    <row r="329" spans="1:102" ht="18" hidden="1" customHeight="1">
      <c r="A329" s="53" t="s">
        <v>248</v>
      </c>
      <c r="B329" s="2" t="s">
        <v>148</v>
      </c>
      <c r="C329" s="57"/>
      <c r="D329" s="57"/>
      <c r="E329" s="51" t="s">
        <v>1173</v>
      </c>
      <c r="F329" s="51"/>
      <c r="G329" s="51">
        <v>3</v>
      </c>
      <c r="H329" s="51"/>
      <c r="I329" s="51"/>
      <c r="J329" s="51">
        <v>7</v>
      </c>
      <c r="K329" s="37" t="s">
        <v>1241</v>
      </c>
      <c r="L329" s="50"/>
      <c r="M329" s="4" t="s">
        <v>5</v>
      </c>
      <c r="N329" s="25">
        <v>33.843218322824384</v>
      </c>
      <c r="O329" s="25"/>
      <c r="P329" s="25"/>
      <c r="Q329" s="25"/>
      <c r="R329" s="25"/>
      <c r="S329" s="25"/>
      <c r="T329" s="25">
        <v>4.28</v>
      </c>
      <c r="U329" s="25">
        <v>38.123218322824385</v>
      </c>
      <c r="V329" s="30">
        <v>22.645502645502646</v>
      </c>
      <c r="W329" s="30">
        <v>179.064647210711</v>
      </c>
      <c r="X329" s="31"/>
      <c r="Y329" s="31"/>
      <c r="Z329" s="31"/>
      <c r="AA329" s="31"/>
      <c r="AB329" s="31"/>
      <c r="AC329" s="31">
        <v>3.63</v>
      </c>
      <c r="AD329" s="31"/>
      <c r="AE329" s="32">
        <v>0</v>
      </c>
      <c r="AF329" s="1"/>
      <c r="AG329" s="4"/>
      <c r="AH329" s="4"/>
      <c r="AI329" s="6">
        <v>189</v>
      </c>
      <c r="AJ329" s="38">
        <v>100</v>
      </c>
      <c r="AK329" s="3"/>
      <c r="AL329" s="1"/>
      <c r="AM329" s="37"/>
      <c r="AN329" s="37"/>
      <c r="AO329" s="37"/>
      <c r="AP329" s="37"/>
      <c r="AQ329" s="37"/>
      <c r="AR329" s="37"/>
      <c r="AS329" s="37"/>
      <c r="AT329" s="37"/>
      <c r="AU329" s="37"/>
      <c r="AV329" s="37"/>
      <c r="AW329" s="37"/>
      <c r="AX329" s="37"/>
      <c r="AY329" s="37"/>
      <c r="AZ329" s="37"/>
      <c r="BA329" s="37"/>
      <c r="BB329" s="37"/>
      <c r="BC329" s="37"/>
      <c r="BD329" s="37"/>
      <c r="BE329" s="37"/>
      <c r="BF329" s="37"/>
      <c r="BG329" s="42">
        <v>24.324300000000001</v>
      </c>
      <c r="BH329" s="42"/>
      <c r="BI329" s="42"/>
      <c r="BJ329" s="42"/>
      <c r="BK329" s="44">
        <v>24.324300000000001</v>
      </c>
      <c r="BL329" s="44">
        <v>4.28</v>
      </c>
      <c r="BM329" s="44">
        <f>+BK329+BL329</f>
        <v>28.604300000000002</v>
      </c>
      <c r="BN329" s="47">
        <v>128.69999999999999</v>
      </c>
      <c r="BO329" s="47">
        <v>22.645502645502646</v>
      </c>
      <c r="BP329" s="45">
        <v>151.34550264550265</v>
      </c>
      <c r="BQ329" s="9">
        <v>189</v>
      </c>
      <c r="BR329" s="4"/>
      <c r="BS329" s="4"/>
      <c r="BT329" s="4"/>
      <c r="BU329" s="4"/>
      <c r="BV329" s="4"/>
      <c r="BW329" s="4"/>
      <c r="BX329" s="4"/>
      <c r="BY329" s="9">
        <f>+INT(BK329*faktorji!$B$3)</f>
        <v>1581</v>
      </c>
      <c r="BZ329" s="9">
        <f>+INT(BL329*faktorji!$B$4)</f>
        <v>706</v>
      </c>
      <c r="CA329" s="4"/>
      <c r="CB329" s="4">
        <v>0</v>
      </c>
      <c r="CC329" s="4">
        <v>0</v>
      </c>
      <c r="CD329" s="4">
        <v>0</v>
      </c>
      <c r="CE329" s="4">
        <v>0</v>
      </c>
      <c r="CF329" s="4">
        <v>1</v>
      </c>
      <c r="CG329" s="4">
        <v>1</v>
      </c>
      <c r="CH329" s="4">
        <v>1</v>
      </c>
      <c r="CI329" s="9">
        <f>+BQ329*(CB329*faktorji!$B$21+'MOL_tabela rezultatov'!CF93*faktorji!$B$23+'MOL_tabela rezultatov'!CH93*faktorji!$B$26)+faktorji!$B$27*CG329</f>
        <v>21118.5</v>
      </c>
      <c r="CJ329" s="9">
        <f>+(BZ329*CF329*faktorji!$B$18)+(CG329*faktorji!$B$17*('MOL_tabela rezultatov'!BY93+'MOL_tabela rezultatov'!BZ93))+('MOL_tabela rezultatov'!CH93*faktorji!$B$16*'MOL_tabela rezultatov'!BY93)+('MOL_tabela rezultatov'!CB93*faktorji!$B$12*'MOL_tabela rezultatov'!BY93)</f>
        <v>221.39999999999998</v>
      </c>
      <c r="CK329" s="66">
        <f>+CI329/CJ329</f>
        <v>95.386178861788622</v>
      </c>
      <c r="CL329" s="3" t="str">
        <f>CONCATENATE(IF(CB329&gt;0,"kotlovnica/toplotna postaja, ",""),IF(CF329&gt;0,"razsvetljava, ",""),IF(CG329&gt;0,"energetsko upravljanje, ",""),IF(CH329&gt;0,"manjši investicijski in organizacijski ukrepi, ",""))</f>
        <v xml:space="preserve">razsvetljava, energetsko upravljanje, manjši investicijski in organizacijski ukrepi, </v>
      </c>
      <c r="CM329" s="9">
        <f>+CJ329*0.9</f>
        <v>199.26</v>
      </c>
      <c r="CN329" s="9">
        <f>+CJ329*0.9</f>
        <v>199.26</v>
      </c>
      <c r="CO329" s="9">
        <f>+CJ329*0.9</f>
        <v>199.26</v>
      </c>
      <c r="CP329" s="69">
        <f>+IF(CI329-SUM(CM329:CO329)&lt;0,0,CI329-SUM(CM329:CO329))</f>
        <v>20520.72</v>
      </c>
      <c r="CQ329" s="52"/>
      <c r="CR329" s="52"/>
      <c r="CS329" s="52"/>
      <c r="CT329" s="52"/>
      <c r="CU329" s="52"/>
      <c r="CV329" s="52"/>
      <c r="CW329" s="52"/>
      <c r="CX329" s="120"/>
    </row>
    <row r="330" spans="1:102" ht="18" hidden="1" customHeight="1">
      <c r="A330" s="53" t="s">
        <v>798</v>
      </c>
      <c r="B330" s="2" t="s">
        <v>799</v>
      </c>
      <c r="C330" s="57"/>
      <c r="D330" s="57"/>
      <c r="E330" s="51" t="s">
        <v>1176</v>
      </c>
      <c r="F330" s="51"/>
      <c r="G330" s="51" t="s">
        <v>1366</v>
      </c>
      <c r="H330" s="51" t="s">
        <v>1255</v>
      </c>
      <c r="I330" s="78" t="s">
        <v>1334</v>
      </c>
      <c r="J330" s="51">
        <v>1</v>
      </c>
      <c r="K330" s="37" t="s">
        <v>1243</v>
      </c>
      <c r="L330" s="50">
        <v>2014</v>
      </c>
      <c r="M330" s="110" t="s">
        <v>5</v>
      </c>
      <c r="N330" s="28">
        <v>83</v>
      </c>
      <c r="O330" s="25"/>
      <c r="P330" s="25"/>
      <c r="Q330" s="25"/>
      <c r="R330" s="25"/>
      <c r="S330" s="25"/>
      <c r="T330" s="25">
        <v>6.0960000000000001</v>
      </c>
      <c r="U330" s="25">
        <v>89.096000000000004</v>
      </c>
      <c r="V330" s="30">
        <v>16.343163538873995</v>
      </c>
      <c r="W330" s="30">
        <v>222.5201072386059</v>
      </c>
      <c r="X330" s="31"/>
      <c r="Y330" s="31"/>
      <c r="Z330" s="31"/>
      <c r="AA330" s="31"/>
      <c r="AB330" s="31"/>
      <c r="AC330" s="31"/>
      <c r="AD330" s="31"/>
      <c r="AE330" s="32"/>
      <c r="AF330" s="16"/>
      <c r="AG330" s="3"/>
      <c r="AH330" s="4"/>
      <c r="AI330" s="6">
        <v>373</v>
      </c>
      <c r="AJ330" s="38">
        <v>100</v>
      </c>
      <c r="AK330" s="3"/>
      <c r="AL330" s="1" t="s">
        <v>421</v>
      </c>
      <c r="AM330" s="39"/>
      <c r="AN330" s="39"/>
      <c r="AO330" s="39"/>
      <c r="AP330" s="39"/>
      <c r="AQ330" s="37"/>
      <c r="AR330" s="37"/>
      <c r="AS330" s="37"/>
      <c r="AT330" s="37"/>
      <c r="AU330" s="37"/>
      <c r="AV330" s="37"/>
      <c r="AW330" s="37"/>
      <c r="AX330" s="37"/>
      <c r="AY330" s="37"/>
      <c r="AZ330" s="37"/>
      <c r="BA330" s="37"/>
      <c r="BB330" s="37"/>
      <c r="BC330" s="37">
        <v>16.760000000000002</v>
      </c>
      <c r="BD330" s="37">
        <v>16.7</v>
      </c>
      <c r="BE330" s="37">
        <v>15.6</v>
      </c>
      <c r="BF330" s="37">
        <v>17.100000000000001</v>
      </c>
      <c r="BG330" s="42">
        <v>100.2</v>
      </c>
      <c r="BH330" s="42"/>
      <c r="BI330" s="42"/>
      <c r="BJ330" s="42"/>
      <c r="BK330" s="107">
        <v>83.8</v>
      </c>
      <c r="BL330" s="107">
        <v>15.6</v>
      </c>
      <c r="BM330" s="107">
        <f>+BK330+BL330</f>
        <v>99.399999999999991</v>
      </c>
      <c r="BN330" s="108">
        <f>+BK330*1000/BQ330</f>
        <v>226.48648648648648</v>
      </c>
      <c r="BO330" s="108">
        <f>+BL330*1000/BQ330</f>
        <v>42.162162162162161</v>
      </c>
      <c r="BP330" s="109">
        <f>+BO330+BN330</f>
        <v>268.64864864864865</v>
      </c>
      <c r="BQ330" s="106">
        <v>370</v>
      </c>
      <c r="BR330" s="4">
        <v>60</v>
      </c>
      <c r="BS330" s="4">
        <v>2008</v>
      </c>
      <c r="BT330" s="110" t="s">
        <v>872</v>
      </c>
      <c r="BU330" s="4" t="s">
        <v>957</v>
      </c>
      <c r="BV330" s="4"/>
      <c r="BW330" s="4" t="s">
        <v>958</v>
      </c>
      <c r="BX330" s="4"/>
      <c r="BY330" s="106">
        <v>4280</v>
      </c>
      <c r="BZ330" s="106">
        <v>2160</v>
      </c>
      <c r="CA330" s="3" t="s">
        <v>1430</v>
      </c>
      <c r="CB330" s="4">
        <v>0</v>
      </c>
      <c r="CC330" s="4">
        <v>0</v>
      </c>
      <c r="CD330" s="4">
        <v>0</v>
      </c>
      <c r="CE330" s="4">
        <v>0</v>
      </c>
      <c r="CF330" s="4">
        <v>0</v>
      </c>
      <c r="CG330" s="4">
        <v>0</v>
      </c>
      <c r="CH330" s="4">
        <v>0</v>
      </c>
      <c r="CI330" s="106">
        <v>21900</v>
      </c>
      <c r="CJ330" s="106">
        <v>1500</v>
      </c>
      <c r="CK330" s="115">
        <f>+CI330/CJ330</f>
        <v>14.6</v>
      </c>
      <c r="CL330" s="3" t="str">
        <f>CONCATENATE(IF(CB330&gt;0,"kotlovnica/toplotna postaja, ",""),IF(CF330&gt;0,"razsvetljava, ",""),IF(CG330&gt;0,"energetsko upravljanje, ",""),IF(CH330&gt;0,"manjši investicijski in organizacijski ukrepi, ",""))</f>
        <v/>
      </c>
      <c r="CM330" s="9">
        <f>+CJ330*0.9</f>
        <v>1350</v>
      </c>
      <c r="CN330" s="9">
        <f>+CJ330*0.9</f>
        <v>1350</v>
      </c>
      <c r="CO330" s="9">
        <f>+CJ330*0.9</f>
        <v>1350</v>
      </c>
      <c r="CP330" s="69">
        <f>+IF(CI330-SUM(CM330:CO330)&lt;0,0,CI330-SUM(CM330:CO330))</f>
        <v>17850</v>
      </c>
      <c r="CQ330" s="52"/>
      <c r="CR330" s="52"/>
      <c r="CS330" s="52"/>
      <c r="CT330" s="52"/>
      <c r="CU330" s="52"/>
      <c r="CV330" s="52"/>
      <c r="CW330" s="52"/>
      <c r="CX330" s="120"/>
    </row>
    <row r="331" spans="1:102" ht="18" hidden="1" customHeight="1">
      <c r="A331" s="53" t="s">
        <v>827</v>
      </c>
      <c r="B331" s="2" t="s">
        <v>828</v>
      </c>
      <c r="C331" s="57"/>
      <c r="D331" s="57"/>
      <c r="E331" s="51" t="s">
        <v>1176</v>
      </c>
      <c r="F331" s="51"/>
      <c r="G331" s="51" t="s">
        <v>1366</v>
      </c>
      <c r="H331" s="51" t="s">
        <v>1255</v>
      </c>
      <c r="I331" s="77" t="s">
        <v>1334</v>
      </c>
      <c r="J331" s="51">
        <v>1</v>
      </c>
      <c r="K331" s="37" t="s">
        <v>1243</v>
      </c>
      <c r="L331" s="50">
        <v>2013</v>
      </c>
      <c r="M331" s="110" t="s">
        <v>6</v>
      </c>
      <c r="N331" s="25"/>
      <c r="O331" s="25">
        <v>448.4</v>
      </c>
      <c r="P331" s="25"/>
      <c r="Q331" s="25"/>
      <c r="R331" s="25"/>
      <c r="S331" s="25"/>
      <c r="T331" s="25">
        <v>23.657</v>
      </c>
      <c r="U331" s="25">
        <v>472.05699999999996</v>
      </c>
      <c r="V331" s="30">
        <v>21.545537340619308</v>
      </c>
      <c r="W331" s="30">
        <v>408.37887067395263</v>
      </c>
      <c r="X331" s="31"/>
      <c r="Y331" s="31"/>
      <c r="Z331" s="31"/>
      <c r="AA331" s="31"/>
      <c r="AB331" s="31"/>
      <c r="AC331" s="31"/>
      <c r="AD331" s="31"/>
      <c r="AE331" s="32"/>
      <c r="AF331" s="16" t="s">
        <v>829</v>
      </c>
      <c r="AG331" s="3">
        <v>1979</v>
      </c>
      <c r="AH331" s="4"/>
      <c r="AI331" s="6">
        <v>1098</v>
      </c>
      <c r="AJ331" s="38">
        <v>100</v>
      </c>
      <c r="AK331" s="3"/>
      <c r="AL331" s="1" t="s">
        <v>830</v>
      </c>
      <c r="AM331" s="37"/>
      <c r="AN331" s="37"/>
      <c r="AO331" s="37"/>
      <c r="AP331" s="37"/>
      <c r="AQ331" s="37">
        <f>(27093*9.5)/1000</f>
        <v>257.38350000000003</v>
      </c>
      <c r="AR331" s="37">
        <f>(32939*9.5)/1000</f>
        <v>312.9205</v>
      </c>
      <c r="AS331" s="37">
        <f>(28961*9.5)/1000</f>
        <v>275.12950000000001</v>
      </c>
      <c r="AT331" s="37">
        <f>(28085*9.5)/1000</f>
        <v>266.8075</v>
      </c>
      <c r="AU331" s="37"/>
      <c r="AV331" s="37"/>
      <c r="AW331" s="37"/>
      <c r="AX331" s="37"/>
      <c r="AY331" s="37"/>
      <c r="AZ331" s="37"/>
      <c r="BA331" s="37"/>
      <c r="BB331" s="37"/>
      <c r="BC331" s="37">
        <v>56.9</v>
      </c>
      <c r="BD331" s="37">
        <v>57.4</v>
      </c>
      <c r="BE331" s="37">
        <v>53.4</v>
      </c>
      <c r="BF331" s="37">
        <v>56.5</v>
      </c>
      <c r="BG331" s="42"/>
      <c r="BH331" s="42">
        <v>278.06025</v>
      </c>
      <c r="BI331" s="42"/>
      <c r="BJ331" s="42"/>
      <c r="BK331" s="107">
        <v>278.06025</v>
      </c>
      <c r="BL331" s="107">
        <v>56.05</v>
      </c>
      <c r="BM331" s="107">
        <f>+BK331+BL331</f>
        <v>334.11025000000001</v>
      </c>
      <c r="BN331" s="108">
        <f>+BK331*1000/BQ331</f>
        <v>222.98336006415397</v>
      </c>
      <c r="BO331" s="108">
        <f>+BL331*1000/BQ331</f>
        <v>44.94787489975942</v>
      </c>
      <c r="BP331" s="109">
        <f>+BO331+BN331</f>
        <v>267.93123496391337</v>
      </c>
      <c r="BQ331" s="106">
        <v>1247</v>
      </c>
      <c r="BR331" s="110" t="s">
        <v>1427</v>
      </c>
      <c r="BS331" s="110">
        <v>2008</v>
      </c>
      <c r="BT331" s="110" t="s">
        <v>872</v>
      </c>
      <c r="BU331" s="4" t="s">
        <v>136</v>
      </c>
      <c r="BV331" s="4"/>
      <c r="BW331" s="4" t="s">
        <v>982</v>
      </c>
      <c r="BX331" s="4"/>
      <c r="BY331" s="106">
        <v>21100</v>
      </c>
      <c r="BZ331" s="106">
        <v>8500</v>
      </c>
      <c r="CA331" s="3" t="s">
        <v>1327</v>
      </c>
      <c r="CB331" s="4">
        <v>0</v>
      </c>
      <c r="CC331" s="4">
        <v>0</v>
      </c>
      <c r="CD331" s="4">
        <v>0</v>
      </c>
      <c r="CE331" s="4">
        <v>0</v>
      </c>
      <c r="CF331" s="4">
        <v>0</v>
      </c>
      <c r="CG331" s="4">
        <v>0</v>
      </c>
      <c r="CH331" s="4">
        <v>0</v>
      </c>
      <c r="CI331" s="9">
        <v>60000</v>
      </c>
      <c r="CJ331" s="9"/>
      <c r="CK331" s="9"/>
      <c r="CL331" s="3" t="str">
        <f>CONCATENATE(IF(CB331&gt;0,"kotlovnica/toplotna postaja, ",""),IF(CF331&gt;0,"razsvetljava, ",""),IF(CG331&gt;0,"energetsko upravljanje, ",""),IF(CH331&gt;0,"manjši investicijski in organizacijski ukrepi, ",""))</f>
        <v/>
      </c>
      <c r="CM331" s="9">
        <f>+CJ331*0.9</f>
        <v>0</v>
      </c>
      <c r="CN331" s="9">
        <f>+CJ331*0.9</f>
        <v>0</v>
      </c>
      <c r="CO331" s="9">
        <f>+CJ331*0.9</f>
        <v>0</v>
      </c>
      <c r="CP331" s="69">
        <f>+IF(CI331-SUM(CM331:CO331)&lt;0,0,CI331-SUM(CM331:CO331))</f>
        <v>60000</v>
      </c>
      <c r="CQ331" s="52"/>
      <c r="CR331" s="52"/>
      <c r="CS331" s="52"/>
      <c r="CT331" s="52"/>
      <c r="CU331" s="52"/>
      <c r="CV331" s="52"/>
      <c r="CW331" s="52"/>
      <c r="CX331" s="120"/>
    </row>
    <row r="332" spans="1:102" ht="18" hidden="1" customHeight="1">
      <c r="A332" s="53" t="s">
        <v>729</v>
      </c>
      <c r="B332" s="2" t="s">
        <v>730</v>
      </c>
      <c r="C332" s="57"/>
      <c r="D332" s="57"/>
      <c r="E332" s="51" t="s">
        <v>1176</v>
      </c>
      <c r="F332" s="51"/>
      <c r="G332" s="51">
        <v>2</v>
      </c>
      <c r="H332" s="71" t="s">
        <v>1255</v>
      </c>
      <c r="I332" s="71"/>
      <c r="J332" s="51">
        <v>1</v>
      </c>
      <c r="K332" s="37" t="s">
        <v>1243</v>
      </c>
      <c r="L332" s="50"/>
      <c r="M332" s="110" t="s">
        <v>5</v>
      </c>
      <c r="N332" s="25"/>
      <c r="O332" s="25"/>
      <c r="P332" s="25">
        <v>477</v>
      </c>
      <c r="Q332" s="25"/>
      <c r="R332" s="25"/>
      <c r="S332" s="25"/>
      <c r="T332" s="25">
        <v>132</v>
      </c>
      <c r="U332" s="25">
        <v>609</v>
      </c>
      <c r="V332" s="30">
        <v>57.391304347826086</v>
      </c>
      <c r="W332" s="30">
        <v>207.39130434782609</v>
      </c>
      <c r="X332" s="31"/>
      <c r="Y332" s="31"/>
      <c r="Z332" s="31"/>
      <c r="AA332" s="31"/>
      <c r="AB332" s="31"/>
      <c r="AC332" s="31"/>
      <c r="AD332" s="31"/>
      <c r="AE332" s="32"/>
      <c r="AF332" s="16" t="s">
        <v>731</v>
      </c>
      <c r="AG332" s="3" t="s">
        <v>732</v>
      </c>
      <c r="AH332" s="4"/>
      <c r="AI332" s="6">
        <v>2300</v>
      </c>
      <c r="AJ332" s="38">
        <v>100</v>
      </c>
      <c r="AK332" s="3"/>
      <c r="AL332" s="1" t="s">
        <v>421</v>
      </c>
      <c r="AM332" s="37">
        <v>389</v>
      </c>
      <c r="AN332" s="37">
        <v>389</v>
      </c>
      <c r="AO332" s="37">
        <v>354</v>
      </c>
      <c r="AP332" s="37">
        <v>348</v>
      </c>
      <c r="AQ332" s="37">
        <f>(1120*9.5)/1000</f>
        <v>10.64</v>
      </c>
      <c r="AR332" s="37">
        <f>(1013*9.5)/1000</f>
        <v>9.6234999999999999</v>
      </c>
      <c r="AS332" s="37">
        <f>(988*9.5)/1000</f>
        <v>9.3859999999999992</v>
      </c>
      <c r="AT332" s="37">
        <f>(1092*9.5)/1000</f>
        <v>10.374000000000001</v>
      </c>
      <c r="AU332" s="37">
        <v>400</v>
      </c>
      <c r="AV332" s="37">
        <v>38.5</v>
      </c>
      <c r="AW332" s="37">
        <v>390</v>
      </c>
      <c r="AX332" s="37">
        <v>410</v>
      </c>
      <c r="AY332" s="37"/>
      <c r="AZ332" s="37"/>
      <c r="BA332" s="37"/>
      <c r="BB332" s="37"/>
      <c r="BC332" s="37">
        <v>123.3</v>
      </c>
      <c r="BD332" s="37">
        <v>117.4</v>
      </c>
      <c r="BE332" s="37">
        <v>124.6</v>
      </c>
      <c r="BF332" s="37">
        <v>140.19999999999999</v>
      </c>
      <c r="BG332" s="42">
        <v>370</v>
      </c>
      <c r="BH332" s="42">
        <v>10.005875</v>
      </c>
      <c r="BI332" s="42">
        <v>309.625</v>
      </c>
      <c r="BJ332" s="42"/>
      <c r="BK332" s="107">
        <v>361.1</v>
      </c>
      <c r="BL332" s="107">
        <v>126.1</v>
      </c>
      <c r="BM332" s="107">
        <f>+BK332+BL332</f>
        <v>487.20000000000005</v>
      </c>
      <c r="BN332" s="108">
        <f>+BK332*1000/BQ332</f>
        <v>138.72454859777181</v>
      </c>
      <c r="BO332" s="108">
        <f>+BL332*1000/BQ332</f>
        <v>48.444102958125242</v>
      </c>
      <c r="BP332" s="109">
        <f>+BO332+BN332</f>
        <v>187.16865155589704</v>
      </c>
      <c r="BQ332" s="106">
        <v>2603</v>
      </c>
      <c r="BR332" s="110">
        <v>522</v>
      </c>
      <c r="BS332" s="110">
        <v>2009</v>
      </c>
      <c r="BT332" s="112" t="s">
        <v>931</v>
      </c>
      <c r="BU332" s="4" t="s">
        <v>934</v>
      </c>
      <c r="BV332" s="4" t="s">
        <v>873</v>
      </c>
      <c r="BW332" s="4"/>
      <c r="BX332" s="4"/>
      <c r="BY332" s="106">
        <v>21280</v>
      </c>
      <c r="BZ332" s="106">
        <v>16970</v>
      </c>
      <c r="CA332" s="114" t="s">
        <v>1325</v>
      </c>
      <c r="CB332" s="4">
        <v>0</v>
      </c>
      <c r="CC332" s="4">
        <v>1</v>
      </c>
      <c r="CD332" s="4">
        <v>0.5</v>
      </c>
      <c r="CE332" s="4">
        <v>0</v>
      </c>
      <c r="CF332" s="4">
        <v>1</v>
      </c>
      <c r="CG332" s="4">
        <v>1</v>
      </c>
      <c r="CH332" s="4">
        <v>1</v>
      </c>
      <c r="CI332" s="106">
        <f>21000+16000+7000+107519</f>
        <v>151519</v>
      </c>
      <c r="CJ332" s="106">
        <f>+(BZ332*CF332*faktorji!$B$18)+(CG332*faktorji!$B$17*('MOL_tabela rezultatov'!BY267+'MOL_tabela rezultatov'!BZ267))+('MOL_tabela rezultatov'!CH267*faktorji!$B$16*'MOL_tabela rezultatov'!BY267)+('MOL_tabela rezultatov'!CB267*faktorji!$B$12*'MOL_tabela rezultatov'!BY267)</f>
        <v>9722.1</v>
      </c>
      <c r="CK332" s="115">
        <f>+CI332/CJ332</f>
        <v>15.585007354378169</v>
      </c>
      <c r="CL332" s="3" t="str">
        <f>CONCATENATE(IF(CB332&gt;0,"kotlovnica/toplotna postaja, ",""),IF(CF332&gt;0,"razsvetljava, ",""),IF(CG332&gt;0,"energetsko upravljanje, ",""),IF(CH332&gt;0,"manjši investicijski in organizacijski ukrepi, ",""))</f>
        <v xml:space="preserve">razsvetljava, energetsko upravljanje, manjši investicijski in organizacijski ukrepi, </v>
      </c>
      <c r="CM332" s="9">
        <f>+CJ332*0.9</f>
        <v>8749.8900000000012</v>
      </c>
      <c r="CN332" s="9">
        <f>+CJ332*0.9</f>
        <v>8749.8900000000012</v>
      </c>
      <c r="CO332" s="9">
        <f>+CJ332*0.9</f>
        <v>8749.8900000000012</v>
      </c>
      <c r="CP332" s="69">
        <f>+IF(CI332-SUM(CM332:CO332)&lt;0,0,CI332-SUM(CM332:CO332))</f>
        <v>125269.32999999999</v>
      </c>
      <c r="CQ332" s="52"/>
      <c r="CR332" s="52"/>
      <c r="CS332" s="52"/>
      <c r="CT332" s="52"/>
      <c r="CU332" s="52"/>
      <c r="CV332" s="52"/>
      <c r="CW332" s="52"/>
      <c r="CX332" s="120"/>
    </row>
    <row r="333" spans="1:102" ht="18" hidden="1" customHeight="1">
      <c r="A333" s="53" t="s">
        <v>503</v>
      </c>
      <c r="B333" s="2"/>
      <c r="C333" s="57"/>
      <c r="D333" s="57"/>
      <c r="E333" s="51" t="s">
        <v>1175</v>
      </c>
      <c r="F333" s="51"/>
      <c r="G333" s="51">
        <v>3</v>
      </c>
      <c r="H333" s="51"/>
      <c r="I333" s="51"/>
      <c r="J333" s="51">
        <v>7</v>
      </c>
      <c r="K333" s="37" t="s">
        <v>1243</v>
      </c>
      <c r="L333" s="50"/>
      <c r="M333" s="4" t="s">
        <v>5</v>
      </c>
      <c r="N333" s="25"/>
      <c r="O333" s="25"/>
      <c r="P333" s="25"/>
      <c r="Q333" s="25"/>
      <c r="R333" s="25"/>
      <c r="S333" s="25">
        <v>847.86444939968044</v>
      </c>
      <c r="T333" s="25">
        <v>100.82</v>
      </c>
      <c r="U333" s="25">
        <v>100.82</v>
      </c>
      <c r="V333" s="30">
        <v>16.803333333333335</v>
      </c>
      <c r="W333" s="30">
        <v>141.31074156661342</v>
      </c>
      <c r="X333" s="31"/>
      <c r="Y333" s="31"/>
      <c r="Z333" s="31"/>
      <c r="AA333" s="31"/>
      <c r="AB333" s="31"/>
      <c r="AC333" s="31"/>
      <c r="AD333" s="31"/>
      <c r="AE333" s="32"/>
      <c r="AF333" s="16" t="s">
        <v>468</v>
      </c>
      <c r="AG333" s="3"/>
      <c r="AH333" s="4"/>
      <c r="AI333" s="6">
        <v>6000</v>
      </c>
      <c r="AJ333" s="38">
        <v>100</v>
      </c>
      <c r="AK333" s="3"/>
      <c r="AL333" s="1" t="s">
        <v>504</v>
      </c>
      <c r="AM333" s="37">
        <v>737</v>
      </c>
      <c r="AN333" s="37">
        <v>828</v>
      </c>
      <c r="AO333" s="37">
        <v>761</v>
      </c>
      <c r="AP333" s="37">
        <v>690</v>
      </c>
      <c r="AQ333" s="37">
        <f>(1865*9.5)/1000</f>
        <v>17.717500000000001</v>
      </c>
      <c r="AR333" s="37">
        <f>(1787*9.5)/1000</f>
        <v>16.976500000000001</v>
      </c>
      <c r="AS333" s="37">
        <f>(1707*9.5)/1000</f>
        <v>16.2165</v>
      </c>
      <c r="AT333" s="37">
        <f>(777*9.5)/1000</f>
        <v>7.3815</v>
      </c>
      <c r="AU333" s="37"/>
      <c r="AV333" s="37"/>
      <c r="AW333" s="37"/>
      <c r="AX333" s="37"/>
      <c r="AY333" s="37"/>
      <c r="AZ333" s="37"/>
      <c r="BA333" s="37"/>
      <c r="BB333" s="37"/>
      <c r="BC333" s="37">
        <v>108.4</v>
      </c>
      <c r="BD333" s="37">
        <v>108.2</v>
      </c>
      <c r="BE333" s="37">
        <v>83.7</v>
      </c>
      <c r="BF333" s="37">
        <v>66.599999999999994</v>
      </c>
      <c r="BG333" s="42">
        <v>754</v>
      </c>
      <c r="BH333" s="42">
        <v>14.573</v>
      </c>
      <c r="BI333" s="42"/>
      <c r="BJ333" s="42"/>
      <c r="BK333" s="44">
        <v>768.57299999999998</v>
      </c>
      <c r="BL333" s="44">
        <v>91.724999999999994</v>
      </c>
      <c r="BM333" s="44">
        <f>+BK333+BL333</f>
        <v>860.298</v>
      </c>
      <c r="BN333" s="47">
        <v>128.09549999999999</v>
      </c>
      <c r="BO333" s="47">
        <v>15.2875</v>
      </c>
      <c r="BP333" s="45">
        <v>143.38300000000001</v>
      </c>
      <c r="BQ333" s="9">
        <v>6000</v>
      </c>
      <c r="BR333" s="4"/>
      <c r="BS333" s="4"/>
      <c r="BT333" s="4" t="s">
        <v>872</v>
      </c>
      <c r="BU333" s="4"/>
      <c r="BV333" s="4" t="s">
        <v>1035</v>
      </c>
      <c r="BW333" s="1" t="s">
        <v>1036</v>
      </c>
      <c r="BX333" s="4"/>
      <c r="BY333" s="9">
        <f>+INT(BK333*faktorji!$B$3)</f>
        <v>49957</v>
      </c>
      <c r="BZ333" s="9">
        <f>+INT(BL333*faktorji!$B$4)</f>
        <v>15134</v>
      </c>
      <c r="CA333" s="4"/>
      <c r="CB333" s="4">
        <v>0</v>
      </c>
      <c r="CC333" s="4">
        <v>1</v>
      </c>
      <c r="CD333" s="4">
        <v>0</v>
      </c>
      <c r="CE333" s="4">
        <v>0</v>
      </c>
      <c r="CF333" s="4">
        <v>0</v>
      </c>
      <c r="CG333" s="4">
        <v>1</v>
      </c>
      <c r="CH333" s="4">
        <v>1</v>
      </c>
      <c r="CI333" s="9">
        <f>+BQ333*(CB333*faktorji!$B$21+'MOL_tabela rezultatov'!CF194*faktorji!$B$23+'MOL_tabela rezultatov'!CH194*faktorji!$B$26)+faktorji!$B$27*CG333</f>
        <v>117000</v>
      </c>
      <c r="CJ333" s="9">
        <f>+(BZ333*CF333*faktorji!$B$18)+(CG333*faktorji!$B$17*('MOL_tabela rezultatov'!BY194+'MOL_tabela rezultatov'!BZ194))+('MOL_tabela rezultatov'!CH194*faktorji!$B$16*'MOL_tabela rezultatov'!BY194)+('MOL_tabela rezultatov'!CB194*faktorji!$B$12*'MOL_tabela rezultatov'!BY194)</f>
        <v>5169</v>
      </c>
      <c r="CK333" s="66">
        <f>+CI333/CJ333</f>
        <v>22.634939059779455</v>
      </c>
      <c r="CL333" s="3" t="str">
        <f>CONCATENATE(IF(CB333&gt;0,"kotlovnica/toplotna postaja, ",""),IF(CF333&gt;0,"razsvetljava, ",""),IF(CG333&gt;0,"energetsko upravljanje, ",""),IF(CH333&gt;0,"manjši investicijski in organizacijski ukrepi, ",""))</f>
        <v xml:space="preserve">energetsko upravljanje, manjši investicijski in organizacijski ukrepi, </v>
      </c>
      <c r="CM333" s="9">
        <f>+CJ333*0.9</f>
        <v>4652.1000000000004</v>
      </c>
      <c r="CN333" s="9">
        <f>+CJ333*0.9</f>
        <v>4652.1000000000004</v>
      </c>
      <c r="CO333" s="9">
        <f>+CJ333*0.9</f>
        <v>4652.1000000000004</v>
      </c>
      <c r="CP333" s="69">
        <f>+IF(CI333-SUM(CM333:CO333)&lt;0,0,CI333-SUM(CM333:CO333))</f>
        <v>103043.7</v>
      </c>
      <c r="CQ333" s="52"/>
      <c r="CR333" s="52"/>
      <c r="CS333" s="52"/>
      <c r="CT333" s="52"/>
      <c r="CU333" s="52"/>
      <c r="CV333" s="52"/>
      <c r="CW333" s="52"/>
      <c r="CX333" s="120"/>
    </row>
    <row r="334" spans="1:102" ht="18" hidden="1" customHeight="1">
      <c r="A334" s="54" t="s">
        <v>862</v>
      </c>
      <c r="B334" s="3"/>
      <c r="C334" s="56"/>
      <c r="D334" s="56"/>
      <c r="E334" s="51" t="s">
        <v>331</v>
      </c>
      <c r="F334" s="51" t="s">
        <v>1255</v>
      </c>
      <c r="G334" s="51">
        <v>3</v>
      </c>
      <c r="H334" s="51" t="s">
        <v>1255</v>
      </c>
      <c r="I334" s="51"/>
      <c r="J334" s="51">
        <v>7</v>
      </c>
      <c r="K334" s="37" t="s">
        <v>1244</v>
      </c>
      <c r="L334" s="50"/>
      <c r="M334" s="110" t="s">
        <v>5</v>
      </c>
      <c r="N334" s="25"/>
      <c r="O334" s="25"/>
      <c r="P334" s="25"/>
      <c r="Q334" s="25"/>
      <c r="R334" s="25"/>
      <c r="S334" s="25"/>
      <c r="T334" s="25"/>
      <c r="U334" s="25"/>
      <c r="V334" s="30"/>
      <c r="W334" s="30"/>
      <c r="X334" s="31"/>
      <c r="Y334" s="31"/>
      <c r="Z334" s="31"/>
      <c r="AA334" s="31"/>
      <c r="AB334" s="31"/>
      <c r="AC334" s="31"/>
      <c r="AD334" s="31"/>
      <c r="AE334" s="32"/>
      <c r="AF334" s="1"/>
      <c r="AG334" s="4"/>
      <c r="AH334" s="4"/>
      <c r="AI334" s="6"/>
      <c r="AJ334" s="38"/>
      <c r="AK334" s="3"/>
      <c r="AL334" s="1"/>
      <c r="AM334" s="37"/>
      <c r="AN334" s="37"/>
      <c r="AO334" s="37"/>
      <c r="AP334" s="37"/>
      <c r="AQ334" s="37"/>
      <c r="AR334" s="37"/>
      <c r="AS334" s="37"/>
      <c r="AT334" s="37"/>
      <c r="AU334" s="37"/>
      <c r="AV334" s="37"/>
      <c r="AW334" s="37"/>
      <c r="AX334" s="37"/>
      <c r="AY334" s="37"/>
      <c r="AZ334" s="37"/>
      <c r="BA334" s="37"/>
      <c r="BB334" s="37"/>
      <c r="BC334" s="37"/>
      <c r="BD334" s="37"/>
      <c r="BE334" s="37"/>
      <c r="BF334" s="37"/>
      <c r="BG334" s="42">
        <v>1838.3</v>
      </c>
      <c r="BH334" s="42"/>
      <c r="BI334" s="42"/>
      <c r="BJ334" s="42"/>
      <c r="BK334" s="107">
        <v>1627</v>
      </c>
      <c r="BL334" s="107">
        <v>1062</v>
      </c>
      <c r="BM334" s="107">
        <f>+BK334+BL334</f>
        <v>2689</v>
      </c>
      <c r="BN334" s="108">
        <f>+BK334*1000/BQ334</f>
        <v>50.371517027863774</v>
      </c>
      <c r="BO334" s="108">
        <f>+BL334*1000/BQ334</f>
        <v>32.879256965944272</v>
      </c>
      <c r="BP334" s="109">
        <f>+BO334+BN334</f>
        <v>83.250773993808053</v>
      </c>
      <c r="BQ334" s="106">
        <v>32300</v>
      </c>
      <c r="BR334" s="110">
        <v>3100</v>
      </c>
      <c r="BS334" s="4"/>
      <c r="BT334" s="4"/>
      <c r="BU334" s="4"/>
      <c r="BV334" s="4"/>
      <c r="BW334" s="4"/>
      <c r="BX334" s="4"/>
      <c r="BY334" s="106">
        <v>67767</v>
      </c>
      <c r="BZ334" s="9">
        <f>+INT(BL334*faktorji!$B$4)</f>
        <v>175230</v>
      </c>
      <c r="CA334" s="114" t="s">
        <v>1421</v>
      </c>
      <c r="CB334" s="4">
        <v>0</v>
      </c>
      <c r="CC334" s="4">
        <v>0</v>
      </c>
      <c r="CD334" s="4">
        <v>0</v>
      </c>
      <c r="CE334" s="4">
        <v>0</v>
      </c>
      <c r="CF334" s="4">
        <v>0</v>
      </c>
      <c r="CG334" s="4">
        <v>1</v>
      </c>
      <c r="CH334" s="4">
        <v>1</v>
      </c>
      <c r="CI334" s="9">
        <v>0</v>
      </c>
      <c r="CJ334" s="9">
        <v>0</v>
      </c>
      <c r="CK334" s="66" t="e">
        <f>+CI334/CJ334</f>
        <v>#DIV/0!</v>
      </c>
      <c r="CL334" s="3" t="str">
        <f>CONCATENATE(IF(CB334&gt;0,"kotlovnica/toplotna postaja, ",""),IF(CF334&gt;0,"razsvetljava, ",""),IF(CG334&gt;0,"energetsko upravljanje, ",""),IF(CH334&gt;0,"manjši investicijski in organizacijski ukrepi, ",""))</f>
        <v xml:space="preserve">energetsko upravljanje, manjši investicijski in organizacijski ukrepi, </v>
      </c>
      <c r="CM334" s="9">
        <f>+CJ334*0.9</f>
        <v>0</v>
      </c>
      <c r="CN334" s="9">
        <f>+CJ334*0.9</f>
        <v>0</v>
      </c>
      <c r="CO334" s="9">
        <f>+CJ334*0.9</f>
        <v>0</v>
      </c>
      <c r="CP334" s="69">
        <f>+IF(CI334-SUM(CM334:CO334)&lt;0,0,CI334-SUM(CM334:CO334))</f>
        <v>0</v>
      </c>
      <c r="CQ334" s="52"/>
      <c r="CR334" s="52"/>
      <c r="CS334" s="52"/>
      <c r="CT334" s="52"/>
      <c r="CU334" s="52"/>
      <c r="CV334" s="52"/>
      <c r="CW334" s="52"/>
      <c r="CX334" s="120"/>
    </row>
    <row r="335" spans="1:102">
      <c r="AH335" s="24"/>
      <c r="AI335" s="24"/>
      <c r="AJ335" s="24"/>
    </row>
    <row r="336" spans="1:102">
      <c r="AH336" s="24"/>
      <c r="AI336" s="24"/>
      <c r="AJ336" s="24"/>
    </row>
    <row r="337" spans="34:36">
      <c r="AH337" s="24"/>
      <c r="AI337" s="24"/>
      <c r="AJ337" s="24"/>
    </row>
    <row r="338" spans="34:36">
      <c r="AH338" s="24"/>
      <c r="AI338" s="24"/>
      <c r="AJ338" s="24"/>
    </row>
    <row r="339" spans="34:36">
      <c r="AH339" s="24"/>
      <c r="AI339" s="24"/>
      <c r="AJ339" s="24"/>
    </row>
    <row r="340" spans="34:36">
      <c r="AH340" s="24"/>
      <c r="AI340" s="24"/>
      <c r="AJ340" s="24"/>
    </row>
    <row r="341" spans="34:36">
      <c r="AH341" s="24"/>
      <c r="AI341" s="24"/>
      <c r="AJ341" s="24"/>
    </row>
    <row r="342" spans="34:36">
      <c r="AH342" s="24"/>
      <c r="AI342" s="24"/>
      <c r="AJ342" s="24"/>
    </row>
    <row r="343" spans="34:36">
      <c r="AH343" s="24"/>
      <c r="AI343" s="24"/>
      <c r="AJ343" s="24"/>
    </row>
    <row r="344" spans="34:36">
      <c r="AH344" s="24"/>
      <c r="AI344" s="24"/>
      <c r="AJ344" s="24"/>
    </row>
    <row r="345" spans="34:36">
      <c r="AH345" s="24"/>
      <c r="AI345" s="24"/>
      <c r="AJ345" s="24"/>
    </row>
    <row r="346" spans="34:36">
      <c r="AH346" s="24"/>
      <c r="AI346" s="24"/>
      <c r="AJ346" s="24"/>
    </row>
    <row r="347" spans="34:36">
      <c r="AH347" s="24"/>
      <c r="AI347" s="24"/>
      <c r="AJ347" s="24"/>
    </row>
    <row r="348" spans="34:36">
      <c r="AH348" s="24"/>
      <c r="AI348" s="24"/>
      <c r="AJ348" s="24"/>
    </row>
    <row r="349" spans="34:36">
      <c r="AH349" s="24"/>
      <c r="AI349" s="24"/>
      <c r="AJ349" s="24"/>
    </row>
    <row r="350" spans="34:36">
      <c r="AH350" s="24"/>
      <c r="AI350" s="24"/>
      <c r="AJ350" s="24"/>
    </row>
    <row r="351" spans="34:36">
      <c r="AH351" s="24"/>
      <c r="AI351" s="24"/>
      <c r="AJ351" s="24"/>
    </row>
    <row r="352" spans="34:36">
      <c r="AH352" s="24"/>
      <c r="AI352" s="24"/>
      <c r="AJ352" s="24"/>
    </row>
    <row r="353" spans="34:36">
      <c r="AH353" s="24"/>
      <c r="AI353" s="24"/>
      <c r="AJ353" s="24"/>
    </row>
    <row r="354" spans="34:36">
      <c r="AH354" s="24"/>
      <c r="AI354" s="24"/>
      <c r="AJ354" s="24"/>
    </row>
    <row r="355" spans="34:36">
      <c r="AH355" s="24"/>
      <c r="AI355" s="24"/>
      <c r="AJ355" s="24"/>
    </row>
    <row r="356" spans="34:36">
      <c r="AH356" s="24"/>
      <c r="AI356" s="24"/>
      <c r="AJ356" s="24"/>
    </row>
    <row r="357" spans="34:36">
      <c r="AH357" s="24"/>
      <c r="AI357" s="24"/>
      <c r="AJ357" s="24"/>
    </row>
    <row r="358" spans="34:36">
      <c r="AH358" s="24"/>
      <c r="AI358" s="24"/>
      <c r="AJ358" s="24"/>
    </row>
    <row r="359" spans="34:36">
      <c r="AH359" s="24"/>
      <c r="AI359" s="24"/>
      <c r="AJ359" s="24"/>
    </row>
    <row r="360" spans="34:36">
      <c r="AH360" s="24"/>
      <c r="AI360" s="24"/>
      <c r="AJ360" s="24"/>
    </row>
    <row r="361" spans="34:36">
      <c r="AH361" s="24"/>
      <c r="AI361" s="24"/>
      <c r="AJ361" s="24"/>
    </row>
    <row r="362" spans="34:36">
      <c r="AH362" s="24"/>
      <c r="AI362" s="24"/>
      <c r="AJ362" s="24"/>
    </row>
    <row r="363" spans="34:36">
      <c r="AH363" s="24"/>
      <c r="AI363" s="24"/>
      <c r="AJ363" s="24"/>
    </row>
    <row r="364" spans="34:36">
      <c r="AH364" s="24"/>
      <c r="AI364" s="24"/>
      <c r="AJ364" s="24"/>
    </row>
    <row r="365" spans="34:36">
      <c r="AH365" s="24"/>
      <c r="AI365" s="24"/>
      <c r="AJ365" s="24"/>
    </row>
    <row r="366" spans="34:36">
      <c r="AH366" s="24"/>
      <c r="AI366" s="24"/>
      <c r="AJ366" s="24"/>
    </row>
    <row r="367" spans="34:36">
      <c r="AH367" s="24"/>
      <c r="AI367" s="24"/>
      <c r="AJ367" s="24"/>
    </row>
    <row r="368" spans="34:36">
      <c r="AH368" s="24"/>
      <c r="AI368" s="24"/>
      <c r="AJ368" s="24"/>
    </row>
    <row r="369" spans="34:36">
      <c r="AH369" s="24"/>
      <c r="AI369" s="24"/>
      <c r="AJ369" s="24"/>
    </row>
    <row r="370" spans="34:36">
      <c r="AH370" s="24"/>
      <c r="AI370" s="24"/>
      <c r="AJ370" s="24"/>
    </row>
    <row r="371" spans="34:36">
      <c r="AH371" s="24"/>
      <c r="AI371" s="24"/>
      <c r="AJ371" s="24"/>
    </row>
    <row r="372" spans="34:36">
      <c r="AH372" s="24"/>
      <c r="AI372" s="24"/>
      <c r="AJ372" s="24"/>
    </row>
    <row r="373" spans="34:36">
      <c r="AH373" s="24"/>
      <c r="AI373" s="24"/>
      <c r="AJ373" s="24"/>
    </row>
    <row r="374" spans="34:36">
      <c r="AH374" s="24"/>
      <c r="AI374" s="24"/>
      <c r="AJ374" s="24"/>
    </row>
    <row r="375" spans="34:36">
      <c r="AH375" s="24"/>
      <c r="AI375" s="24"/>
      <c r="AJ375" s="24"/>
    </row>
    <row r="376" spans="34:36">
      <c r="AH376" s="24"/>
      <c r="AI376" s="24"/>
      <c r="AJ376" s="24"/>
    </row>
    <row r="377" spans="34:36">
      <c r="AH377" s="24"/>
      <c r="AI377" s="24"/>
      <c r="AJ377" s="24"/>
    </row>
    <row r="378" spans="34:36">
      <c r="AH378" s="24"/>
      <c r="AI378" s="24"/>
      <c r="AJ378" s="24"/>
    </row>
    <row r="379" spans="34:36">
      <c r="AH379" s="24"/>
      <c r="AI379" s="24"/>
      <c r="AJ379" s="24"/>
    </row>
    <row r="380" spans="34:36">
      <c r="AH380" s="24"/>
      <c r="AI380" s="24"/>
      <c r="AJ380" s="24"/>
    </row>
    <row r="381" spans="34:36">
      <c r="AH381" s="24"/>
      <c r="AI381" s="24"/>
      <c r="AJ381" s="24"/>
    </row>
    <row r="382" spans="34:36">
      <c r="AH382" s="24"/>
      <c r="AI382" s="24"/>
      <c r="AJ382" s="24"/>
    </row>
    <row r="383" spans="34:36">
      <c r="AH383" s="24"/>
      <c r="AI383" s="24"/>
      <c r="AJ383" s="24"/>
    </row>
    <row r="384" spans="34:36">
      <c r="AH384" s="24"/>
      <c r="AI384" s="24"/>
      <c r="AJ384" s="24"/>
    </row>
    <row r="385" spans="34:36">
      <c r="AH385" s="24"/>
      <c r="AI385" s="24"/>
      <c r="AJ385" s="24"/>
    </row>
    <row r="386" spans="34:36">
      <c r="AH386" s="24"/>
      <c r="AI386" s="24"/>
      <c r="AJ386" s="24"/>
    </row>
    <row r="387" spans="34:36">
      <c r="AH387" s="24"/>
      <c r="AI387" s="24"/>
      <c r="AJ387" s="24"/>
    </row>
    <row r="388" spans="34:36">
      <c r="AH388" s="24"/>
      <c r="AI388" s="24"/>
      <c r="AJ388" s="24"/>
    </row>
    <row r="389" spans="34:36">
      <c r="AH389" s="24"/>
      <c r="AI389" s="24"/>
      <c r="AJ389" s="24"/>
    </row>
    <row r="390" spans="34:36">
      <c r="AH390" s="24"/>
      <c r="AI390" s="24"/>
      <c r="AJ390" s="24"/>
    </row>
    <row r="391" spans="34:36">
      <c r="AH391" s="24"/>
      <c r="AI391" s="24"/>
      <c r="AJ391" s="24"/>
    </row>
    <row r="392" spans="34:36">
      <c r="AH392" s="24"/>
      <c r="AI392" s="24"/>
      <c r="AJ392" s="24"/>
    </row>
    <row r="393" spans="34:36">
      <c r="AH393" s="24"/>
      <c r="AI393" s="24"/>
      <c r="AJ393" s="24"/>
    </row>
    <row r="394" spans="34:36">
      <c r="AH394" s="24"/>
      <c r="AI394" s="24"/>
      <c r="AJ394" s="24"/>
    </row>
    <row r="395" spans="34:36">
      <c r="AH395" s="24"/>
      <c r="AI395" s="24"/>
      <c r="AJ395" s="24"/>
    </row>
    <row r="396" spans="34:36">
      <c r="AH396" s="24"/>
      <c r="AI396" s="24"/>
      <c r="AJ396" s="24"/>
    </row>
    <row r="397" spans="34:36">
      <c r="AH397" s="24"/>
      <c r="AI397" s="24"/>
      <c r="AJ397" s="24"/>
    </row>
    <row r="398" spans="34:36">
      <c r="AH398" s="24"/>
      <c r="AI398" s="24"/>
      <c r="AJ398" s="24"/>
    </row>
    <row r="399" spans="34:36">
      <c r="AH399" s="24"/>
      <c r="AI399" s="24"/>
      <c r="AJ399" s="24"/>
    </row>
    <row r="400" spans="34:36">
      <c r="AH400" s="24"/>
      <c r="AI400" s="24"/>
      <c r="AJ400" s="24"/>
    </row>
    <row r="401" spans="34:36">
      <c r="AH401" s="24"/>
      <c r="AI401" s="24"/>
      <c r="AJ401" s="24"/>
    </row>
    <row r="402" spans="34:36">
      <c r="AH402" s="24"/>
      <c r="AI402" s="24"/>
      <c r="AJ402" s="24"/>
    </row>
    <row r="403" spans="34:36">
      <c r="AH403" s="24"/>
      <c r="AI403" s="24"/>
      <c r="AJ403" s="24"/>
    </row>
    <row r="404" spans="34:36">
      <c r="AH404" s="24"/>
      <c r="AI404" s="24"/>
      <c r="AJ404" s="24"/>
    </row>
    <row r="405" spans="34:36">
      <c r="AH405" s="24"/>
      <c r="AI405" s="24"/>
      <c r="AJ405" s="24"/>
    </row>
    <row r="406" spans="34:36">
      <c r="AH406" s="24"/>
      <c r="AI406" s="24"/>
      <c r="AJ406" s="24"/>
    </row>
    <row r="407" spans="34:36">
      <c r="AH407" s="24"/>
      <c r="AI407" s="24"/>
      <c r="AJ407" s="24"/>
    </row>
    <row r="408" spans="34:36">
      <c r="AH408" s="24"/>
      <c r="AI408" s="24"/>
      <c r="AJ408" s="24"/>
    </row>
    <row r="409" spans="34:36">
      <c r="AH409" s="24"/>
      <c r="AI409" s="24"/>
      <c r="AJ409" s="24"/>
    </row>
    <row r="410" spans="34:36">
      <c r="AH410" s="24"/>
      <c r="AI410" s="24"/>
      <c r="AJ410" s="24"/>
    </row>
    <row r="411" spans="34:36">
      <c r="AH411" s="24"/>
      <c r="AI411" s="24"/>
      <c r="AJ411" s="24"/>
    </row>
    <row r="412" spans="34:36">
      <c r="AH412" s="24"/>
      <c r="AI412" s="24"/>
      <c r="AJ412" s="24"/>
    </row>
    <row r="413" spans="34:36">
      <c r="AH413" s="24"/>
      <c r="AI413" s="24"/>
      <c r="AJ413" s="24"/>
    </row>
    <row r="414" spans="34:36">
      <c r="AH414" s="24"/>
      <c r="AI414" s="24"/>
      <c r="AJ414" s="24"/>
    </row>
    <row r="415" spans="34:36">
      <c r="AH415" s="24"/>
      <c r="AI415" s="24"/>
      <c r="AJ415" s="24"/>
    </row>
    <row r="416" spans="34:36">
      <c r="AH416" s="24"/>
      <c r="AI416" s="24"/>
      <c r="AJ416" s="24"/>
    </row>
    <row r="417" spans="34:36">
      <c r="AH417" s="24"/>
      <c r="AI417" s="24"/>
      <c r="AJ417" s="24"/>
    </row>
    <row r="418" spans="34:36">
      <c r="AH418" s="24"/>
      <c r="AI418" s="24"/>
      <c r="AJ418" s="24"/>
    </row>
    <row r="419" spans="34:36">
      <c r="AH419" s="24"/>
      <c r="AI419" s="24"/>
      <c r="AJ419" s="24"/>
    </row>
    <row r="420" spans="34:36">
      <c r="AH420" s="24"/>
      <c r="AI420" s="24"/>
      <c r="AJ420" s="24"/>
    </row>
    <row r="421" spans="34:36">
      <c r="AH421" s="24"/>
      <c r="AI421" s="24"/>
      <c r="AJ421" s="24"/>
    </row>
    <row r="422" spans="34:36">
      <c r="AH422" s="24"/>
      <c r="AI422" s="24"/>
      <c r="AJ422" s="24"/>
    </row>
    <row r="423" spans="34:36">
      <c r="AH423" s="24"/>
      <c r="AI423" s="24"/>
      <c r="AJ423" s="24"/>
    </row>
    <row r="424" spans="34:36">
      <c r="AH424" s="24"/>
      <c r="AI424" s="24"/>
      <c r="AJ424" s="24"/>
    </row>
    <row r="425" spans="34:36">
      <c r="AH425" s="24"/>
      <c r="AI425" s="24"/>
      <c r="AJ425" s="24"/>
    </row>
    <row r="426" spans="34:36">
      <c r="AH426" s="24"/>
      <c r="AI426" s="24"/>
      <c r="AJ426" s="24"/>
    </row>
    <row r="427" spans="34:36">
      <c r="AH427" s="24"/>
      <c r="AI427" s="24"/>
      <c r="AJ427" s="24"/>
    </row>
    <row r="428" spans="34:36">
      <c r="AH428" s="24"/>
      <c r="AI428" s="24"/>
      <c r="AJ428" s="24"/>
    </row>
    <row r="429" spans="34:36">
      <c r="AH429" s="24"/>
      <c r="AI429" s="24"/>
      <c r="AJ429" s="24"/>
    </row>
    <row r="430" spans="34:36">
      <c r="AH430" s="24"/>
      <c r="AI430" s="24"/>
      <c r="AJ430" s="24"/>
    </row>
    <row r="431" spans="34:36">
      <c r="AH431" s="24"/>
      <c r="AI431" s="24"/>
      <c r="AJ431" s="24"/>
    </row>
    <row r="432" spans="34:36">
      <c r="AH432" s="24"/>
      <c r="AI432" s="24"/>
      <c r="AJ432" s="24"/>
    </row>
    <row r="433" spans="34:36">
      <c r="AH433" s="24"/>
      <c r="AI433" s="24"/>
      <c r="AJ433" s="24"/>
    </row>
    <row r="434" spans="34:36">
      <c r="AH434" s="24"/>
      <c r="AI434" s="24"/>
      <c r="AJ434" s="24"/>
    </row>
    <row r="435" spans="34:36">
      <c r="AH435" s="24"/>
      <c r="AI435" s="24"/>
      <c r="AJ435" s="24"/>
    </row>
    <row r="436" spans="34:36">
      <c r="AH436" s="24"/>
      <c r="AI436" s="24"/>
      <c r="AJ436" s="24"/>
    </row>
    <row r="437" spans="34:36">
      <c r="AH437" s="24"/>
      <c r="AI437" s="24"/>
      <c r="AJ437" s="24"/>
    </row>
    <row r="438" spans="34:36">
      <c r="AH438" s="24"/>
      <c r="AI438" s="24"/>
      <c r="AJ438" s="24"/>
    </row>
    <row r="439" spans="34:36">
      <c r="AH439" s="24"/>
      <c r="AI439" s="24"/>
      <c r="AJ439" s="24"/>
    </row>
    <row r="440" spans="34:36">
      <c r="AH440" s="24"/>
      <c r="AI440" s="24"/>
      <c r="AJ440" s="24"/>
    </row>
    <row r="441" spans="34:36">
      <c r="AH441" s="24"/>
      <c r="AI441" s="24"/>
      <c r="AJ441" s="24"/>
    </row>
    <row r="442" spans="34:36">
      <c r="AH442" s="24"/>
      <c r="AI442" s="24"/>
      <c r="AJ442" s="24"/>
    </row>
    <row r="443" spans="34:36">
      <c r="AH443" s="24"/>
      <c r="AI443" s="24"/>
      <c r="AJ443" s="24"/>
    </row>
    <row r="444" spans="34:36">
      <c r="AH444" s="24"/>
      <c r="AI444" s="24"/>
      <c r="AJ444" s="24"/>
    </row>
    <row r="445" spans="34:36">
      <c r="AH445" s="24"/>
      <c r="AI445" s="24"/>
      <c r="AJ445" s="24"/>
    </row>
    <row r="446" spans="34:36">
      <c r="AH446" s="24"/>
      <c r="AI446" s="24"/>
      <c r="AJ446" s="24"/>
    </row>
    <row r="447" spans="34:36">
      <c r="AH447" s="24"/>
      <c r="AI447" s="24"/>
      <c r="AJ447" s="24"/>
    </row>
    <row r="448" spans="34:36">
      <c r="AH448" s="24"/>
      <c r="AI448" s="24"/>
      <c r="AJ448" s="24"/>
    </row>
    <row r="449" spans="34:36">
      <c r="AH449" s="24"/>
      <c r="AI449" s="24"/>
      <c r="AJ449" s="24"/>
    </row>
    <row r="450" spans="34:36">
      <c r="AH450" s="24"/>
      <c r="AI450" s="24"/>
      <c r="AJ450" s="24"/>
    </row>
    <row r="451" spans="34:36">
      <c r="AH451" s="24"/>
      <c r="AI451" s="24"/>
      <c r="AJ451" s="24"/>
    </row>
    <row r="452" spans="34:36">
      <c r="AH452" s="24"/>
      <c r="AI452" s="24"/>
      <c r="AJ452" s="24"/>
    </row>
    <row r="453" spans="34:36">
      <c r="AH453" s="24"/>
      <c r="AI453" s="24"/>
      <c r="AJ453" s="24"/>
    </row>
    <row r="454" spans="34:36">
      <c r="AH454" s="24"/>
      <c r="AI454" s="24"/>
      <c r="AJ454" s="24"/>
    </row>
    <row r="455" spans="34:36">
      <c r="AH455" s="24"/>
      <c r="AI455" s="24"/>
      <c r="AJ455" s="24"/>
    </row>
    <row r="456" spans="34:36">
      <c r="AH456" s="24"/>
      <c r="AI456" s="24"/>
      <c r="AJ456" s="24"/>
    </row>
    <row r="457" spans="34:36">
      <c r="AH457" s="24"/>
      <c r="AI457" s="24"/>
      <c r="AJ457" s="24"/>
    </row>
    <row r="458" spans="34:36">
      <c r="AH458" s="24"/>
      <c r="AI458" s="24"/>
      <c r="AJ458" s="24"/>
    </row>
  </sheetData>
  <sheetProtection sort="0" autoFilter="0"/>
  <autoFilter ref="A2:CP334">
    <filterColumn colId="0">
      <colorFilter dxfId="0"/>
    </filterColumn>
    <sortState ref="A4:CP328">
      <sortCondition ref="E2:E334"/>
    </sortState>
  </autoFilter>
  <mergeCells count="15">
    <mergeCell ref="CU1:CX1"/>
    <mergeCell ref="CM1:CP1"/>
    <mergeCell ref="N1:W1"/>
    <mergeCell ref="X1:AE1"/>
    <mergeCell ref="AF1:AL1"/>
    <mergeCell ref="AM1:BF1"/>
    <mergeCell ref="BG1:BJ1"/>
    <mergeCell ref="BK1:BM1"/>
    <mergeCell ref="BN1:BP1"/>
    <mergeCell ref="BV1:BX1"/>
    <mergeCell ref="BR1:BU1"/>
    <mergeCell ref="CB1:CH1"/>
    <mergeCell ref="CI1:CK1"/>
    <mergeCell ref="CQ1:CR1"/>
    <mergeCell ref="CS1:CT1"/>
  </mergeCells>
  <pageMargins left="0.31" right="0.27" top="0.34" bottom="0.32" header="0" footer="0"/>
  <pageSetup paperSize="9" fitToHeight="4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7"/>
  <sheetViews>
    <sheetView workbookViewId="0">
      <selection activeCell="A29" sqref="A29:XCA30"/>
    </sheetView>
  </sheetViews>
  <sheetFormatPr defaultRowHeight="20.25"/>
  <cols>
    <col min="1" max="1" width="41.7109375" style="85" customWidth="1"/>
    <col min="2" max="2" width="24.42578125" style="85" customWidth="1"/>
    <col min="3" max="16384" width="9.140625" style="85"/>
  </cols>
  <sheetData>
    <row r="1" spans="1:2">
      <c r="A1" s="83"/>
      <c r="B1" s="84"/>
    </row>
    <row r="2" spans="1:2">
      <c r="A2" s="86" t="s">
        <v>1286</v>
      </c>
      <c r="B2" s="87" t="s">
        <v>1292</v>
      </c>
    </row>
    <row r="3" spans="1:2">
      <c r="A3" s="88" t="s">
        <v>5</v>
      </c>
      <c r="B3" s="89">
        <v>65</v>
      </c>
    </row>
    <row r="4" spans="1:2">
      <c r="A4" s="88" t="s">
        <v>1186</v>
      </c>
      <c r="B4" s="89">
        <v>165</v>
      </c>
    </row>
    <row r="5" spans="1:2">
      <c r="A5" s="88" t="s">
        <v>6</v>
      </c>
      <c r="B5" s="89">
        <v>95</v>
      </c>
    </row>
    <row r="6" spans="1:2">
      <c r="A6" s="88" t="s">
        <v>7</v>
      </c>
      <c r="B6" s="89">
        <v>125</v>
      </c>
    </row>
    <row r="7" spans="1:2">
      <c r="A7" s="88" t="s">
        <v>1284</v>
      </c>
      <c r="B7" s="89">
        <v>100</v>
      </c>
    </row>
    <row r="8" spans="1:2">
      <c r="A8" s="88" t="s">
        <v>1229</v>
      </c>
      <c r="B8" s="89">
        <v>0</v>
      </c>
    </row>
    <row r="9" spans="1:2">
      <c r="A9" s="88" t="s">
        <v>8</v>
      </c>
      <c r="B9" s="89">
        <v>165</v>
      </c>
    </row>
    <row r="10" spans="1:2">
      <c r="A10" s="83"/>
      <c r="B10" s="84"/>
    </row>
    <row r="11" spans="1:2">
      <c r="A11" s="86" t="s">
        <v>1287</v>
      </c>
      <c r="B11" s="87" t="s">
        <v>1350</v>
      </c>
    </row>
    <row r="12" spans="1:2">
      <c r="A12" s="90" t="s">
        <v>1345</v>
      </c>
      <c r="B12" s="91">
        <v>0.1</v>
      </c>
    </row>
    <row r="13" spans="1:2">
      <c r="A13" s="90" t="s">
        <v>1288</v>
      </c>
      <c r="B13" s="91">
        <v>0.13</v>
      </c>
    </row>
    <row r="14" spans="1:2">
      <c r="A14" s="90" t="s">
        <v>1289</v>
      </c>
      <c r="B14" s="91">
        <v>0.1</v>
      </c>
    </row>
    <row r="15" spans="1:2">
      <c r="A15" s="90" t="s">
        <v>1290</v>
      </c>
      <c r="B15" s="91">
        <v>0.15</v>
      </c>
    </row>
    <row r="16" spans="1:2">
      <c r="A16" s="90" t="s">
        <v>1291</v>
      </c>
      <c r="B16" s="91">
        <v>0.1</v>
      </c>
    </row>
    <row r="17" spans="1:2">
      <c r="A17" s="90" t="s">
        <v>1344</v>
      </c>
      <c r="B17" s="91">
        <v>0.1</v>
      </c>
    </row>
    <row r="18" spans="1:2">
      <c r="A18" s="90" t="s">
        <v>874</v>
      </c>
      <c r="B18" s="91">
        <v>0.15</v>
      </c>
    </row>
    <row r="20" spans="1:2">
      <c r="A20" s="96" t="s">
        <v>1287</v>
      </c>
      <c r="B20" s="96" t="s">
        <v>1351</v>
      </c>
    </row>
    <row r="21" spans="1:2">
      <c r="A21" s="96" t="s">
        <v>1355</v>
      </c>
      <c r="B21" s="96">
        <v>15</v>
      </c>
    </row>
    <row r="22" spans="1:2">
      <c r="A22" s="90" t="s">
        <v>1288</v>
      </c>
      <c r="B22" s="96">
        <v>70</v>
      </c>
    </row>
    <row r="23" spans="1:2">
      <c r="A23" s="96" t="s">
        <v>874</v>
      </c>
      <c r="B23" s="96">
        <v>15</v>
      </c>
    </row>
    <row r="24" spans="1:2">
      <c r="A24" s="90" t="s">
        <v>1290</v>
      </c>
      <c r="B24" s="96">
        <v>20</v>
      </c>
    </row>
    <row r="25" spans="1:2">
      <c r="A25" s="90" t="s">
        <v>1289</v>
      </c>
      <c r="B25" s="96">
        <v>250</v>
      </c>
    </row>
    <row r="26" spans="1:2">
      <c r="A26" s="96" t="s">
        <v>1291</v>
      </c>
      <c r="B26" s="96">
        <v>1.5</v>
      </c>
    </row>
    <row r="27" spans="1:2">
      <c r="A27" s="96" t="s">
        <v>1344</v>
      </c>
      <c r="B27" s="96">
        <v>18000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MOL_tabela rezultatov</vt:lpstr>
      <vt:lpstr>faktorji</vt:lpstr>
      <vt:lpstr>'MOL_tabela rezultatov'!Print_Area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 Praznik</dc:creator>
  <cp:lastModifiedBy>doma</cp:lastModifiedBy>
  <cp:lastPrinted>2014-11-25T14:46:44Z</cp:lastPrinted>
  <dcterms:created xsi:type="dcterms:W3CDTF">2013-05-23T07:50:29Z</dcterms:created>
  <dcterms:modified xsi:type="dcterms:W3CDTF">2014-12-21T18:26:21Z</dcterms:modified>
</cp:coreProperties>
</file>